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tc\Desktop\OLWMC\Administrative\Financials\Budgets\"/>
    </mc:Choice>
  </mc:AlternateContent>
  <bookViews>
    <workbookView xWindow="0" yWindow="0" windowWidth="20490" windowHeight="7650" activeTab="1"/>
  </bookViews>
  <sheets>
    <sheet name="Proforma rev. 11.4.2019" sheetId="1" r:id="rId1"/>
    <sheet name="Proforma rev. 7.13.20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5" i="2" l="1"/>
  <c r="L65" i="2" s="1"/>
  <c r="N65" i="2" s="1"/>
  <c r="P65" i="2" s="1"/>
  <c r="J63" i="2"/>
  <c r="J61" i="2"/>
  <c r="J42" i="2"/>
  <c r="J40" i="2"/>
  <c r="J33" i="2"/>
  <c r="J23" i="2"/>
  <c r="J24" i="2"/>
  <c r="J22" i="2"/>
  <c r="J10" i="2"/>
  <c r="J9" i="2"/>
  <c r="J8" i="2"/>
  <c r="P62" i="2"/>
  <c r="P50" i="2"/>
  <c r="P17" i="2"/>
  <c r="P16" i="2"/>
  <c r="P15" i="2"/>
  <c r="P14" i="2"/>
  <c r="P13" i="2"/>
  <c r="P12" i="2"/>
  <c r="P11" i="2"/>
  <c r="P6" i="2"/>
  <c r="F57" i="2"/>
  <c r="F66" i="2" s="1"/>
  <c r="F25" i="2"/>
  <c r="F23" i="2"/>
  <c r="F24" i="2"/>
  <c r="L16" i="2"/>
  <c r="N16" i="2" s="1"/>
  <c r="F50" i="2"/>
  <c r="F45" i="2"/>
  <c r="F36" i="2"/>
  <c r="F18" i="2"/>
  <c r="D34" i="2"/>
  <c r="D30" i="2"/>
  <c r="D33" i="2"/>
  <c r="D25" i="2"/>
  <c r="D27" i="2" s="1"/>
  <c r="D23" i="2"/>
  <c r="D66" i="2"/>
  <c r="B66" i="2"/>
  <c r="N62" i="2"/>
  <c r="L62" i="2"/>
  <c r="J62" i="2"/>
  <c r="H66" i="2"/>
  <c r="J66" i="2"/>
  <c r="N50" i="2"/>
  <c r="L50" i="2"/>
  <c r="J50" i="2"/>
  <c r="H50" i="2"/>
  <c r="D50" i="2"/>
  <c r="B50" i="2"/>
  <c r="H45" i="2"/>
  <c r="D45" i="2"/>
  <c r="B45" i="2"/>
  <c r="L42" i="2"/>
  <c r="N42" i="2" s="1"/>
  <c r="P42" i="2" s="1"/>
  <c r="J45" i="2"/>
  <c r="B34" i="2"/>
  <c r="B36" i="2" s="1"/>
  <c r="B37" i="2" s="1"/>
  <c r="L33" i="2"/>
  <c r="N33" i="2" s="1"/>
  <c r="P33" i="2" s="1"/>
  <c r="H36" i="2"/>
  <c r="H27" i="2"/>
  <c r="L24" i="2"/>
  <c r="N24" i="2" s="1"/>
  <c r="P24" i="2" s="1"/>
  <c r="L23" i="2"/>
  <c r="N23" i="2" s="1"/>
  <c r="P23" i="2" s="1"/>
  <c r="H18" i="2"/>
  <c r="D18" i="2"/>
  <c r="B18" i="2"/>
  <c r="N17" i="2"/>
  <c r="L15" i="2"/>
  <c r="N15" i="2" s="1"/>
  <c r="L14" i="2"/>
  <c r="N14" i="2" s="1"/>
  <c r="L13" i="2"/>
  <c r="N13" i="2" s="1"/>
  <c r="L12" i="2"/>
  <c r="N12" i="2" s="1"/>
  <c r="L11" i="2"/>
  <c r="N11" i="2" s="1"/>
  <c r="L10" i="2"/>
  <c r="N10" i="2" s="1"/>
  <c r="P10" i="2" s="1"/>
  <c r="L9" i="2"/>
  <c r="N9" i="2" s="1"/>
  <c r="P9" i="2" s="1"/>
  <c r="J18" i="2"/>
  <c r="L6" i="2"/>
  <c r="N6" i="2" s="1"/>
  <c r="F27" i="2" l="1"/>
  <c r="D36" i="2"/>
  <c r="D37" i="2" s="1"/>
  <c r="D67" i="2" s="1"/>
  <c r="D69" i="2" s="1"/>
  <c r="B67" i="2"/>
  <c r="B69" i="2" s="1"/>
  <c r="F37" i="2"/>
  <c r="F67" i="2" s="1"/>
  <c r="F69" i="2" s="1"/>
  <c r="H37" i="2"/>
  <c r="L22" i="2"/>
  <c r="J27" i="2"/>
  <c r="H67" i="2"/>
  <c r="H69" i="2" s="1"/>
  <c r="L40" i="2"/>
  <c r="L61" i="2"/>
  <c r="L8" i="2"/>
  <c r="N8" i="2" s="1"/>
  <c r="J62" i="1"/>
  <c r="J64" i="1"/>
  <c r="L64" i="1" s="1"/>
  <c r="N64" i="1" s="1"/>
  <c r="J60" i="1"/>
  <c r="L60" i="1" s="1"/>
  <c r="N60" i="1" s="1"/>
  <c r="L41" i="1"/>
  <c r="N41" i="1" s="1"/>
  <c r="J41" i="1"/>
  <c r="J39" i="1"/>
  <c r="J44" i="1" s="1"/>
  <c r="J32" i="1"/>
  <c r="L32" i="1" s="1"/>
  <c r="N32" i="1" s="1"/>
  <c r="L16" i="1"/>
  <c r="N16" i="1" s="1"/>
  <c r="L6" i="1"/>
  <c r="N6" i="1" s="1"/>
  <c r="L8" i="1"/>
  <c r="N8" i="1" s="1"/>
  <c r="L11" i="1"/>
  <c r="N11" i="1" s="1"/>
  <c r="L12" i="1"/>
  <c r="N12" i="1" s="1"/>
  <c r="L13" i="1"/>
  <c r="N13" i="1" s="1"/>
  <c r="L14" i="1"/>
  <c r="N14" i="1" s="1"/>
  <c r="L15" i="1"/>
  <c r="N15" i="1" s="1"/>
  <c r="J9" i="1"/>
  <c r="L9" i="1" s="1"/>
  <c r="N9" i="1" s="1"/>
  <c r="J8" i="1"/>
  <c r="J10" i="1"/>
  <c r="L10" i="1" s="1"/>
  <c r="N10" i="1" s="1"/>
  <c r="N61" i="1"/>
  <c r="N49" i="1"/>
  <c r="L61" i="1"/>
  <c r="L49" i="1"/>
  <c r="J61" i="1"/>
  <c r="J49" i="1"/>
  <c r="N18" i="2" l="1"/>
  <c r="P8" i="2"/>
  <c r="P18" i="2" s="1"/>
  <c r="J29" i="2"/>
  <c r="J36" i="2" s="1"/>
  <c r="J37" i="2" s="1"/>
  <c r="J67" i="2" s="1"/>
  <c r="J69" i="2" s="1"/>
  <c r="N61" i="2"/>
  <c r="L66" i="2"/>
  <c r="L45" i="2"/>
  <c r="N40" i="2"/>
  <c r="L18" i="2"/>
  <c r="L27" i="2"/>
  <c r="N22" i="2"/>
  <c r="J65" i="1"/>
  <c r="L39" i="1"/>
  <c r="L17" i="1"/>
  <c r="N17" i="1"/>
  <c r="J17" i="1"/>
  <c r="N65" i="1"/>
  <c r="L65" i="1"/>
  <c r="B17" i="1"/>
  <c r="D17" i="1"/>
  <c r="F17" i="1"/>
  <c r="H17" i="1"/>
  <c r="H21" i="1"/>
  <c r="J21" i="1" s="1"/>
  <c r="H22" i="1"/>
  <c r="J22" i="1" s="1"/>
  <c r="L22" i="1" s="1"/>
  <c r="N22" i="1" s="1"/>
  <c r="H23" i="1"/>
  <c r="J23" i="1" s="1"/>
  <c r="L23" i="1" s="1"/>
  <c r="N23" i="1" s="1"/>
  <c r="F24" i="1"/>
  <c r="D26" i="1"/>
  <c r="F32" i="1"/>
  <c r="F35" i="1" s="1"/>
  <c r="B33" i="1"/>
  <c r="B35" i="1" s="1"/>
  <c r="B36" i="1" s="1"/>
  <c r="D35" i="1"/>
  <c r="B44" i="1"/>
  <c r="D44" i="1"/>
  <c r="F44" i="1"/>
  <c r="H44" i="1"/>
  <c r="B49" i="1"/>
  <c r="D49" i="1"/>
  <c r="F49" i="1"/>
  <c r="H49" i="1"/>
  <c r="F61" i="1"/>
  <c r="H61" i="1"/>
  <c r="B65" i="1"/>
  <c r="D65" i="1"/>
  <c r="F65" i="1"/>
  <c r="H65" i="1"/>
  <c r="N66" i="2" l="1"/>
  <c r="P61" i="2"/>
  <c r="P66" i="2" s="1"/>
  <c r="N45" i="2"/>
  <c r="P40" i="2"/>
  <c r="P45" i="2" s="1"/>
  <c r="N27" i="2"/>
  <c r="P22" i="2"/>
  <c r="P27" i="2" s="1"/>
  <c r="N29" i="2"/>
  <c r="N36" i="2" s="1"/>
  <c r="N37" i="2" s="1"/>
  <c r="L29" i="2"/>
  <c r="L36" i="2" s="1"/>
  <c r="L37" i="2" s="1"/>
  <c r="L67" i="2" s="1"/>
  <c r="L69" i="2" s="1"/>
  <c r="D36" i="1"/>
  <c r="L21" i="1"/>
  <c r="J26" i="1"/>
  <c r="J28" i="1" s="1"/>
  <c r="J35" i="1" s="1"/>
  <c r="J36" i="1" s="1"/>
  <c r="J66" i="1" s="1"/>
  <c r="J68" i="1" s="1"/>
  <c r="L44" i="1"/>
  <c r="N39" i="1"/>
  <c r="N44" i="1" s="1"/>
  <c r="D66" i="1"/>
  <c r="D68" i="1" s="1"/>
  <c r="B66" i="1"/>
  <c r="B68" i="1" s="1"/>
  <c r="H26" i="1"/>
  <c r="F26" i="1"/>
  <c r="F36" i="1" s="1"/>
  <c r="F66" i="1" s="1"/>
  <c r="F68" i="1" s="1"/>
  <c r="N67" i="2" l="1"/>
  <c r="N69" i="2" s="1"/>
  <c r="P29" i="2"/>
  <c r="P36" i="2" s="1"/>
  <c r="P37" i="2"/>
  <c r="P67" i="2" s="1"/>
  <c r="P69" i="2" s="1"/>
  <c r="L26" i="1"/>
  <c r="L28" i="1" s="1"/>
  <c r="L35" i="1" s="1"/>
  <c r="L36" i="1" s="1"/>
  <c r="L66" i="1" s="1"/>
  <c r="L68" i="1" s="1"/>
  <c r="N21" i="1"/>
  <c r="N26" i="1" s="1"/>
  <c r="N28" i="1" s="1"/>
  <c r="N35" i="1" s="1"/>
  <c r="N36" i="1" s="1"/>
  <c r="N66" i="1" s="1"/>
  <c r="N68" i="1" s="1"/>
  <c r="H28" i="1"/>
  <c r="H35" i="1" l="1"/>
  <c r="H36" i="1" s="1"/>
  <c r="H66" i="1" s="1"/>
  <c r="H68" i="1" s="1"/>
</calcChain>
</file>

<file path=xl/sharedStrings.xml><?xml version="1.0" encoding="utf-8"?>
<sst xmlns="http://schemas.openxmlformats.org/spreadsheetml/2006/main" count="138" uniqueCount="73">
  <si>
    <t>Net Income/(Loss)</t>
  </si>
  <si>
    <t>Total Expenses</t>
  </si>
  <si>
    <t>Total Office Expenses</t>
  </si>
  <si>
    <t>Audit</t>
  </si>
  <si>
    <t>Professional fees</t>
  </si>
  <si>
    <t>Outside Contract Services</t>
  </si>
  <si>
    <t>Rent</t>
  </si>
  <si>
    <t>Liability &amp; Director's Insurance</t>
  </si>
  <si>
    <t>Office Supplies</t>
  </si>
  <si>
    <t>Staff Development</t>
  </si>
  <si>
    <t>Telecommunications</t>
  </si>
  <si>
    <t>Payroll Processing Fees</t>
  </si>
  <si>
    <t>Printing/Copying</t>
  </si>
  <si>
    <t>Advertising</t>
  </si>
  <si>
    <t>Banking Fees</t>
  </si>
  <si>
    <t>Postage</t>
  </si>
  <si>
    <t>Office Expenses</t>
  </si>
  <si>
    <t>Total Field Expenses</t>
  </si>
  <si>
    <t>Field Supplies</t>
  </si>
  <si>
    <t>Lab testing</t>
  </si>
  <si>
    <t>Field Expenses</t>
  </si>
  <si>
    <t>Total Vehicle Expenses</t>
  </si>
  <si>
    <t>Repairs &amp; Maintenance</t>
  </si>
  <si>
    <t>Fuel</t>
  </si>
  <si>
    <t>Mileage</t>
  </si>
  <si>
    <t>Auto Insurance</t>
  </si>
  <si>
    <t>Vehicle Expenses</t>
  </si>
  <si>
    <t>Total Personnel &amp; Benefits Expenses</t>
  </si>
  <si>
    <t>Total Benefits</t>
  </si>
  <si>
    <t>Worker's Comp.</t>
  </si>
  <si>
    <t>Disability Ins.</t>
  </si>
  <si>
    <t>Retirement</t>
  </si>
  <si>
    <t>Dental Insurance</t>
  </si>
  <si>
    <t>Health Insurance</t>
  </si>
  <si>
    <t>Unemployment</t>
  </si>
  <si>
    <t>FICA</t>
  </si>
  <si>
    <t>Benefits</t>
  </si>
  <si>
    <t>Total Personnel Expenses</t>
  </si>
  <si>
    <t>Summer Seasonal Reimbursement</t>
  </si>
  <si>
    <t>Summer Seasonal</t>
  </si>
  <si>
    <t>Deputy Watershed Inspector</t>
  </si>
  <si>
    <t>Watershed Specialist</t>
  </si>
  <si>
    <t>Executive Director</t>
  </si>
  <si>
    <t>Personnel &amp; Benefits Expenses</t>
  </si>
  <si>
    <t>EXPENSES</t>
  </si>
  <si>
    <t>Total Income</t>
  </si>
  <si>
    <t>Scipio</t>
  </si>
  <si>
    <t>Niles</t>
  </si>
  <si>
    <t>Fleming</t>
  </si>
  <si>
    <t>Owasco</t>
  </si>
  <si>
    <t>Soil &amp; Water</t>
  </si>
  <si>
    <t>Auburn</t>
  </si>
  <si>
    <t>Watershed Steward Fees</t>
  </si>
  <si>
    <t>INCOME</t>
  </si>
  <si>
    <t>Proposed 2020 Budget</t>
  </si>
  <si>
    <t>2019 Actual (9 months)</t>
  </si>
  <si>
    <t>2018 Actual</t>
  </si>
  <si>
    <t>Approved 2019 Budget</t>
  </si>
  <si>
    <t>Proposed 2021 Budget</t>
  </si>
  <si>
    <t>Proposed 2022 Budget</t>
  </si>
  <si>
    <t>Proposed 2023 Budget</t>
  </si>
  <si>
    <t>Town of Moravia</t>
  </si>
  <si>
    <t>Village of Moravia</t>
  </si>
  <si>
    <t>Locke</t>
  </si>
  <si>
    <t>Summerhill</t>
  </si>
  <si>
    <t>Sennet</t>
  </si>
  <si>
    <t>OWLA</t>
  </si>
  <si>
    <t>Vehicle Replacement</t>
  </si>
  <si>
    <t>2019 Actual</t>
  </si>
  <si>
    <t>Approved 2020 Budget</t>
  </si>
  <si>
    <t>2020 YTD Actual (Jan - June 30, 2020)</t>
  </si>
  <si>
    <t>Other Income</t>
  </si>
  <si>
    <t>Proposed 2024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</si>
</sst>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1" fontId="0" fillId="0" borderId="0" xfId="0" applyNumberFormat="1" applyFill="1"/>
    <xf numFmtId="41" fontId="1" fillId="0" borderId="1" xfId="0" applyNumberFormat="1" applyFont="1" applyFill="1" applyBorder="1" applyAlignment="1">
      <alignment horizontal="center" wrapText="1"/>
    </xf>
    <xf numFmtId="41" fontId="0" fillId="0" borderId="0" xfId="0" applyNumberFormat="1" applyFill="1" applyAlignment="1">
      <alignment horizontal="center"/>
    </xf>
    <xf numFmtId="41" fontId="1" fillId="0" borderId="0" xfId="0" applyNumberFormat="1" applyFont="1" applyFill="1"/>
    <xf numFmtId="41" fontId="1" fillId="0" borderId="0" xfId="0" applyNumberFormat="1" applyFont="1" applyFill="1" applyAlignment="1">
      <alignment horizontal="left" indent="1"/>
    </xf>
    <xf numFmtId="41" fontId="0" fillId="0" borderId="0" xfId="0" applyNumberFormat="1" applyFill="1" applyAlignment="1">
      <alignment horizontal="left" indent="2"/>
    </xf>
    <xf numFmtId="41" fontId="4" fillId="0" borderId="0" xfId="0" applyNumberFormat="1" applyFont="1" applyFill="1"/>
    <xf numFmtId="41" fontId="1" fillId="0" borderId="0" xfId="0" applyNumberFormat="1" applyFont="1" applyFill="1" applyAlignment="1">
      <alignment horizontal="left" indent="3"/>
    </xf>
    <xf numFmtId="41" fontId="3" fillId="0" borderId="0" xfId="0" applyNumberFormat="1" applyFont="1" applyFill="1"/>
    <xf numFmtId="41" fontId="0" fillId="0" borderId="0" xfId="0" applyNumberFormat="1" applyFont="1" applyFill="1"/>
    <xf numFmtId="41" fontId="1" fillId="0" borderId="0" xfId="0" applyNumberFormat="1" applyFont="1" applyFill="1" applyAlignment="1">
      <alignment horizontal="left" indent="4"/>
    </xf>
    <xf numFmtId="41" fontId="0" fillId="0" borderId="0" xfId="0" applyNumberFormat="1" applyFont="1" applyFill="1" applyAlignment="1">
      <alignment horizontal="left" indent="2"/>
    </xf>
    <xf numFmtId="41" fontId="1" fillId="0" borderId="0" xfId="0" applyNumberFormat="1" applyFont="1" applyFill="1" applyAlignment="1">
      <alignment horizontal="left" indent="5"/>
    </xf>
    <xf numFmtId="41" fontId="2" fillId="0" borderId="0" xfId="0" applyNumberFormat="1" applyFont="1" applyFill="1"/>
    <xf numFmtId="4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zoomScaleNormal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H1" sqref="H1"/>
    </sheetView>
  </sheetViews>
  <sheetFormatPr defaultRowHeight="15" x14ac:dyDescent="0.25"/>
  <cols>
    <col min="1" max="1" width="43.28515625" style="1" customWidth="1"/>
    <col min="2" max="2" width="17.28515625" style="1" customWidth="1"/>
    <col min="3" max="3" width="3.28515625" style="1" customWidth="1"/>
    <col min="4" max="4" width="17.28515625" style="1" customWidth="1"/>
    <col min="5" max="5" width="3.28515625" style="1" customWidth="1"/>
    <col min="6" max="6" width="17.28515625" style="1" customWidth="1"/>
    <col min="7" max="7" width="3.28515625" style="1" customWidth="1"/>
    <col min="8" max="8" width="17.28515625" style="1" customWidth="1"/>
    <col min="9" max="9" width="3.28515625" style="1" customWidth="1"/>
    <col min="10" max="10" width="17.28515625" style="1" customWidth="1"/>
    <col min="11" max="11" width="3.28515625" style="1" customWidth="1"/>
    <col min="12" max="12" width="17.28515625" style="1" customWidth="1"/>
    <col min="13" max="13" width="3.28515625" style="1" customWidth="1"/>
    <col min="14" max="14" width="17.28515625" style="1" customWidth="1"/>
    <col min="15" max="15" width="3.28515625" style="1" customWidth="1"/>
    <col min="16" max="16384" width="9.140625" style="1"/>
  </cols>
  <sheetData>
    <row r="1" spans="1:15" ht="30" x14ac:dyDescent="0.25">
      <c r="B1" s="2" t="s">
        <v>56</v>
      </c>
      <c r="C1" s="3"/>
      <c r="D1" s="2" t="s">
        <v>55</v>
      </c>
      <c r="E1" s="3"/>
      <c r="F1" s="2" t="s">
        <v>57</v>
      </c>
      <c r="G1" s="3"/>
      <c r="H1" s="2" t="s">
        <v>54</v>
      </c>
      <c r="I1" s="3"/>
      <c r="J1" s="2" t="s">
        <v>58</v>
      </c>
      <c r="K1" s="3"/>
      <c r="L1" s="2" t="s">
        <v>59</v>
      </c>
      <c r="M1" s="3"/>
      <c r="N1" s="2" t="s">
        <v>60</v>
      </c>
      <c r="O1" s="3"/>
    </row>
    <row r="2" spans="1:15" ht="5.25" customHeight="1" x14ac:dyDescent="0.25"/>
    <row r="3" spans="1:15" x14ac:dyDescent="0.25">
      <c r="A3" s="4" t="s">
        <v>53</v>
      </c>
    </row>
    <row r="4" spans="1:15" x14ac:dyDescent="0.25">
      <c r="A4" s="5" t="s">
        <v>52</v>
      </c>
    </row>
    <row r="5" spans="1:15" x14ac:dyDescent="0.25">
      <c r="A5" s="6" t="s">
        <v>51</v>
      </c>
      <c r="B5" s="1">
        <v>112500</v>
      </c>
      <c r="D5" s="1">
        <v>129124.73</v>
      </c>
      <c r="F5" s="1">
        <v>175000</v>
      </c>
      <c r="H5" s="1">
        <v>225000</v>
      </c>
      <c r="J5" s="1">
        <v>250000</v>
      </c>
      <c r="L5" s="1">
        <v>250000</v>
      </c>
      <c r="N5" s="1">
        <v>250000</v>
      </c>
    </row>
    <row r="6" spans="1:15" x14ac:dyDescent="0.25">
      <c r="A6" s="6" t="s">
        <v>50</v>
      </c>
      <c r="B6" s="1">
        <v>89406.69</v>
      </c>
      <c r="D6" s="1">
        <v>0</v>
      </c>
      <c r="F6" s="1">
        <v>0</v>
      </c>
      <c r="H6" s="1">
        <v>0</v>
      </c>
      <c r="J6" s="1">
        <v>0</v>
      </c>
      <c r="L6" s="1">
        <f t="shared" ref="L6:L15" si="0">J6*1.05</f>
        <v>0</v>
      </c>
      <c r="N6" s="1">
        <f t="shared" ref="N6:N15" si="1">L6*1.05</f>
        <v>0</v>
      </c>
    </row>
    <row r="7" spans="1:15" x14ac:dyDescent="0.25">
      <c r="A7" s="6" t="s">
        <v>66</v>
      </c>
      <c r="B7" s="1">
        <v>0</v>
      </c>
      <c r="D7" s="1">
        <v>0</v>
      </c>
      <c r="F7" s="1">
        <v>0</v>
      </c>
      <c r="H7" s="1">
        <v>15000</v>
      </c>
      <c r="J7" s="1">
        <v>15000</v>
      </c>
      <c r="L7" s="1">
        <v>15000</v>
      </c>
      <c r="N7" s="1">
        <v>15000</v>
      </c>
    </row>
    <row r="8" spans="1:15" x14ac:dyDescent="0.25">
      <c r="A8" s="6" t="s">
        <v>49</v>
      </c>
      <c r="B8" s="1">
        <v>12270.42</v>
      </c>
      <c r="D8" s="1">
        <v>20000</v>
      </c>
      <c r="F8" s="1">
        <v>20000</v>
      </c>
      <c r="H8" s="1">
        <v>25000</v>
      </c>
      <c r="J8" s="1">
        <f>H8*1.05</f>
        <v>26250</v>
      </c>
      <c r="L8" s="1">
        <f t="shared" si="0"/>
        <v>27562.5</v>
      </c>
      <c r="N8" s="1">
        <f t="shared" si="1"/>
        <v>28940.625</v>
      </c>
    </row>
    <row r="9" spans="1:15" x14ac:dyDescent="0.25">
      <c r="A9" s="6" t="s">
        <v>48</v>
      </c>
      <c r="B9" s="1">
        <v>0</v>
      </c>
      <c r="D9" s="1">
        <v>2300.54</v>
      </c>
      <c r="F9" s="1">
        <v>5000</v>
      </c>
      <c r="H9" s="1">
        <v>7000</v>
      </c>
      <c r="J9" s="1">
        <f>H9*1.05</f>
        <v>7350</v>
      </c>
      <c r="L9" s="1">
        <f t="shared" si="0"/>
        <v>7717.5</v>
      </c>
      <c r="N9" s="1">
        <f t="shared" si="1"/>
        <v>8103.375</v>
      </c>
    </row>
    <row r="10" spans="1:15" x14ac:dyDescent="0.25">
      <c r="A10" s="6" t="s">
        <v>47</v>
      </c>
      <c r="B10" s="1">
        <v>0</v>
      </c>
      <c r="D10" s="1">
        <v>26.49</v>
      </c>
      <c r="F10" s="1">
        <v>0</v>
      </c>
      <c r="H10" s="1">
        <v>2000</v>
      </c>
      <c r="J10" s="1">
        <f>H10*1.05</f>
        <v>2100</v>
      </c>
      <c r="L10" s="1">
        <f t="shared" si="0"/>
        <v>2205</v>
      </c>
      <c r="N10" s="1">
        <f t="shared" si="1"/>
        <v>2315.25</v>
      </c>
    </row>
    <row r="11" spans="1:15" x14ac:dyDescent="0.25">
      <c r="A11" s="6" t="s">
        <v>61</v>
      </c>
      <c r="B11" s="1">
        <v>0</v>
      </c>
      <c r="D11" s="1">
        <v>0</v>
      </c>
      <c r="F11" s="1">
        <v>0</v>
      </c>
      <c r="H11" s="1">
        <v>0</v>
      </c>
      <c r="J11" s="1">
        <v>2000</v>
      </c>
      <c r="L11" s="1">
        <f t="shared" si="0"/>
        <v>2100</v>
      </c>
      <c r="N11" s="1">
        <f t="shared" si="1"/>
        <v>2205</v>
      </c>
    </row>
    <row r="12" spans="1:15" x14ac:dyDescent="0.25">
      <c r="A12" s="6" t="s">
        <v>62</v>
      </c>
      <c r="B12" s="1">
        <v>0</v>
      </c>
      <c r="D12" s="1">
        <v>0</v>
      </c>
      <c r="F12" s="1">
        <v>0</v>
      </c>
      <c r="H12" s="1">
        <v>0</v>
      </c>
      <c r="J12" s="1">
        <v>2000</v>
      </c>
      <c r="L12" s="1">
        <f t="shared" si="0"/>
        <v>2100</v>
      </c>
      <c r="N12" s="1">
        <f t="shared" si="1"/>
        <v>2205</v>
      </c>
    </row>
    <row r="13" spans="1:15" x14ac:dyDescent="0.25">
      <c r="A13" s="6" t="s">
        <v>63</v>
      </c>
      <c r="B13" s="1">
        <v>0</v>
      </c>
      <c r="D13" s="1">
        <v>0</v>
      </c>
      <c r="F13" s="1">
        <v>0</v>
      </c>
      <c r="H13" s="1">
        <v>0</v>
      </c>
      <c r="J13" s="1">
        <v>1000</v>
      </c>
      <c r="L13" s="1">
        <f t="shared" si="0"/>
        <v>1050</v>
      </c>
      <c r="N13" s="1">
        <f t="shared" si="1"/>
        <v>1102.5</v>
      </c>
    </row>
    <row r="14" spans="1:15" x14ac:dyDescent="0.25">
      <c r="A14" s="6" t="s">
        <v>64</v>
      </c>
      <c r="B14" s="1">
        <v>0</v>
      </c>
      <c r="D14" s="1">
        <v>0</v>
      </c>
      <c r="F14" s="1">
        <v>0</v>
      </c>
      <c r="H14" s="1">
        <v>0</v>
      </c>
      <c r="J14" s="1">
        <v>1000</v>
      </c>
      <c r="L14" s="1">
        <f t="shared" si="0"/>
        <v>1050</v>
      </c>
      <c r="N14" s="1">
        <f t="shared" si="1"/>
        <v>1102.5</v>
      </c>
    </row>
    <row r="15" spans="1:15" x14ac:dyDescent="0.25">
      <c r="A15" s="6" t="s">
        <v>65</v>
      </c>
      <c r="B15" s="1">
        <v>0</v>
      </c>
      <c r="D15" s="1">
        <v>0</v>
      </c>
      <c r="F15" s="1">
        <v>0</v>
      </c>
      <c r="H15" s="1">
        <v>0</v>
      </c>
      <c r="J15" s="1">
        <v>5000</v>
      </c>
      <c r="L15" s="1">
        <f t="shared" si="0"/>
        <v>5250</v>
      </c>
      <c r="N15" s="1">
        <f t="shared" si="1"/>
        <v>5512.5</v>
      </c>
    </row>
    <row r="16" spans="1:15" ht="17.25" x14ac:dyDescent="0.4">
      <c r="A16" s="6" t="s">
        <v>46</v>
      </c>
      <c r="B16" s="7">
        <v>0</v>
      </c>
      <c r="C16" s="7"/>
      <c r="D16" s="7">
        <v>4500</v>
      </c>
      <c r="E16" s="7"/>
      <c r="F16" s="7">
        <v>1500</v>
      </c>
      <c r="G16" s="7"/>
      <c r="H16" s="7">
        <v>2500</v>
      </c>
      <c r="I16" s="7"/>
      <c r="J16" s="7">
        <v>2500</v>
      </c>
      <c r="K16" s="7"/>
      <c r="L16" s="7">
        <f>J16*1.05</f>
        <v>2625</v>
      </c>
      <c r="M16" s="7"/>
      <c r="N16" s="7">
        <f>L16*1.05</f>
        <v>2756.25</v>
      </c>
      <c r="O16" s="7"/>
    </row>
    <row r="17" spans="1:15" ht="17.25" x14ac:dyDescent="0.4">
      <c r="A17" s="8" t="s">
        <v>45</v>
      </c>
      <c r="B17" s="9">
        <f>SUM(B5:B16)</f>
        <v>214177.11000000002</v>
      </c>
      <c r="D17" s="9">
        <f>SUM(D5:D16)</f>
        <v>155951.75999999998</v>
      </c>
      <c r="F17" s="9">
        <f>SUM(F5:F16)</f>
        <v>201500</v>
      </c>
      <c r="H17" s="9">
        <f>SUM(H5:H16)</f>
        <v>276500</v>
      </c>
      <c r="J17" s="9">
        <f>SUM(J5:J16)</f>
        <v>314200</v>
      </c>
      <c r="L17" s="9">
        <f>SUM(L5:L16)</f>
        <v>316660</v>
      </c>
      <c r="N17" s="9">
        <f>SUM(N5:N16)</f>
        <v>319243</v>
      </c>
    </row>
    <row r="18" spans="1:15" ht="5.25" customHeight="1" x14ac:dyDescent="0.25"/>
    <row r="19" spans="1:15" x14ac:dyDescent="0.25">
      <c r="A19" s="4" t="s">
        <v>44</v>
      </c>
    </row>
    <row r="20" spans="1:15" x14ac:dyDescent="0.25">
      <c r="A20" s="5" t="s">
        <v>43</v>
      </c>
    </row>
    <row r="21" spans="1:15" x14ac:dyDescent="0.25">
      <c r="A21" s="6" t="s">
        <v>42</v>
      </c>
      <c r="B21" s="1">
        <v>0</v>
      </c>
      <c r="D21" s="1">
        <v>0</v>
      </c>
      <c r="F21" s="1">
        <v>81000</v>
      </c>
      <c r="H21" s="1">
        <f>81000*1.02</f>
        <v>82620</v>
      </c>
      <c r="J21" s="1">
        <f>H21*1.02</f>
        <v>84272.400000000009</v>
      </c>
      <c r="L21" s="1">
        <f>J21*1.02</f>
        <v>85957.848000000013</v>
      </c>
      <c r="N21" s="1">
        <f>L21*1.02</f>
        <v>87677.00496000002</v>
      </c>
    </row>
    <row r="22" spans="1:15" x14ac:dyDescent="0.25">
      <c r="A22" s="6" t="s">
        <v>41</v>
      </c>
      <c r="B22" s="1">
        <v>0</v>
      </c>
      <c r="D22" s="1">
        <v>0</v>
      </c>
      <c r="F22" s="1">
        <v>57120</v>
      </c>
      <c r="H22" s="1">
        <f>57120*1.02</f>
        <v>58262.400000000001</v>
      </c>
      <c r="J22" s="1">
        <f t="shared" ref="J22:N23" si="2">H22*1.02</f>
        <v>59427.648000000001</v>
      </c>
      <c r="L22" s="1">
        <f t="shared" si="2"/>
        <v>60616.200960000002</v>
      </c>
      <c r="N22" s="1">
        <f t="shared" si="2"/>
        <v>61828.524979200003</v>
      </c>
    </row>
    <row r="23" spans="1:15" x14ac:dyDescent="0.25">
      <c r="A23" s="6" t="s">
        <v>40</v>
      </c>
      <c r="B23" s="1">
        <v>0</v>
      </c>
      <c r="D23" s="1">
        <v>0</v>
      </c>
      <c r="F23" s="1">
        <v>9508</v>
      </c>
      <c r="H23" s="1">
        <f>41500*1.02</f>
        <v>42330</v>
      </c>
      <c r="J23" s="1">
        <f t="shared" si="2"/>
        <v>43176.6</v>
      </c>
      <c r="L23" s="1">
        <f t="shared" si="2"/>
        <v>44040.131999999998</v>
      </c>
      <c r="N23" s="1">
        <f t="shared" si="2"/>
        <v>44920.934639999999</v>
      </c>
    </row>
    <row r="24" spans="1:15" x14ac:dyDescent="0.25">
      <c r="A24" s="6" t="s">
        <v>39</v>
      </c>
      <c r="B24" s="10">
        <v>0</v>
      </c>
      <c r="C24" s="10"/>
      <c r="D24" s="10">
        <v>0</v>
      </c>
      <c r="E24" s="10"/>
      <c r="F24" s="10">
        <f>5625+5125-100</f>
        <v>10650</v>
      </c>
      <c r="G24" s="10"/>
      <c r="H24" s="10">
        <v>0</v>
      </c>
      <c r="I24" s="10"/>
      <c r="J24" s="10">
        <v>0</v>
      </c>
      <c r="K24" s="10"/>
      <c r="L24" s="10">
        <v>0</v>
      </c>
      <c r="M24" s="10"/>
      <c r="N24" s="10">
        <v>0</v>
      </c>
      <c r="O24" s="10"/>
    </row>
    <row r="25" spans="1:15" ht="17.25" x14ac:dyDescent="0.4">
      <c r="A25" s="6" t="s">
        <v>38</v>
      </c>
      <c r="B25" s="7">
        <v>0</v>
      </c>
      <c r="D25" s="7">
        <v>0</v>
      </c>
      <c r="F25" s="7">
        <v>-10650</v>
      </c>
      <c r="H25" s="7">
        <v>0</v>
      </c>
      <c r="J25" s="7">
        <v>0</v>
      </c>
      <c r="L25" s="7">
        <v>0</v>
      </c>
      <c r="N25" s="7">
        <v>0</v>
      </c>
    </row>
    <row r="26" spans="1:15" ht="17.25" x14ac:dyDescent="0.4">
      <c r="A26" s="8" t="s">
        <v>37</v>
      </c>
      <c r="B26" s="9">
        <v>34176.5</v>
      </c>
      <c r="D26" s="9">
        <f>94610.09-5625</f>
        <v>88985.09</v>
      </c>
      <c r="F26" s="9">
        <f>SUM(F21:F25)</f>
        <v>147628</v>
      </c>
      <c r="H26" s="9">
        <f>SUM(H21:H25)</f>
        <v>183212.4</v>
      </c>
      <c r="J26" s="9">
        <f>SUM(J21:J25)</f>
        <v>186876.64800000002</v>
      </c>
      <c r="L26" s="9">
        <f>SUM(L21:L25)</f>
        <v>190614.18096000003</v>
      </c>
      <c r="N26" s="9">
        <f>SUM(N21:N25)</f>
        <v>194426.46457920002</v>
      </c>
    </row>
    <row r="27" spans="1:15" x14ac:dyDescent="0.25">
      <c r="A27" s="5" t="s">
        <v>36</v>
      </c>
    </row>
    <row r="28" spans="1:15" x14ac:dyDescent="0.25">
      <c r="A28" s="6" t="s">
        <v>35</v>
      </c>
      <c r="B28" s="1">
        <v>2501.67</v>
      </c>
      <c r="D28" s="1">
        <v>7156.55</v>
      </c>
      <c r="F28" s="1">
        <v>11000</v>
      </c>
      <c r="H28" s="1">
        <f>H26*0.0765</f>
        <v>14015.748599999999</v>
      </c>
      <c r="J28" s="1">
        <f>J26*0.0765</f>
        <v>14296.063572000001</v>
      </c>
      <c r="L28" s="1">
        <f>L26*0.0765</f>
        <v>14581.984843440001</v>
      </c>
      <c r="N28" s="1">
        <f>N26*0.0765</f>
        <v>14873.624540308801</v>
      </c>
    </row>
    <row r="29" spans="1:15" x14ac:dyDescent="0.25">
      <c r="A29" s="6" t="s">
        <v>34</v>
      </c>
      <c r="B29" s="1">
        <v>459.77</v>
      </c>
      <c r="D29" s="1">
        <v>1218.08</v>
      </c>
      <c r="F29" s="1">
        <v>1600</v>
      </c>
      <c r="H29" s="1">
        <v>1500</v>
      </c>
      <c r="J29" s="1">
        <v>1500</v>
      </c>
      <c r="L29" s="1">
        <v>1500</v>
      </c>
      <c r="N29" s="1">
        <v>1500</v>
      </c>
    </row>
    <row r="30" spans="1:15" x14ac:dyDescent="0.25">
      <c r="A30" s="6" t="s">
        <v>33</v>
      </c>
      <c r="B30" s="1">
        <v>0</v>
      </c>
      <c r="D30" s="1">
        <v>0</v>
      </c>
      <c r="F30" s="1">
        <v>0</v>
      </c>
      <c r="H30" s="1">
        <v>0</v>
      </c>
      <c r="J30" s="1">
        <v>0</v>
      </c>
      <c r="L30" s="1">
        <v>0</v>
      </c>
      <c r="N30" s="1">
        <v>0</v>
      </c>
    </row>
    <row r="31" spans="1:15" x14ac:dyDescent="0.25">
      <c r="A31" s="6" t="s">
        <v>32</v>
      </c>
      <c r="B31" s="1">
        <v>0</v>
      </c>
      <c r="D31" s="1">
        <v>0</v>
      </c>
      <c r="F31" s="1">
        <v>0</v>
      </c>
      <c r="H31" s="1">
        <v>0</v>
      </c>
      <c r="J31" s="1">
        <v>0</v>
      </c>
      <c r="L31" s="1">
        <v>0</v>
      </c>
      <c r="N31" s="1">
        <v>0</v>
      </c>
    </row>
    <row r="32" spans="1:15" x14ac:dyDescent="0.25">
      <c r="A32" s="6" t="s">
        <v>31</v>
      </c>
      <c r="B32" s="1">
        <v>2584.64</v>
      </c>
      <c r="D32" s="1">
        <v>10785.29</v>
      </c>
      <c r="F32" s="1">
        <f>19100-3400</f>
        <v>15700</v>
      </c>
      <c r="H32" s="1">
        <v>18500</v>
      </c>
      <c r="J32" s="1">
        <f>H32*1.02</f>
        <v>18870</v>
      </c>
      <c r="L32" s="1">
        <f>J32*1.02</f>
        <v>19247.400000000001</v>
      </c>
      <c r="N32" s="1">
        <f>L32*1.02</f>
        <v>19632.348000000002</v>
      </c>
    </row>
    <row r="33" spans="1:14" x14ac:dyDescent="0.25">
      <c r="A33" s="6" t="s">
        <v>30</v>
      </c>
      <c r="B33" s="1">
        <f>48.26</f>
        <v>48.26</v>
      </c>
      <c r="D33" s="1">
        <v>-199.05</v>
      </c>
      <c r="F33" s="1">
        <v>150</v>
      </c>
      <c r="H33" s="1">
        <v>150</v>
      </c>
      <c r="J33" s="1">
        <v>150</v>
      </c>
      <c r="L33" s="1">
        <v>150</v>
      </c>
      <c r="N33" s="1">
        <v>150</v>
      </c>
    </row>
    <row r="34" spans="1:14" ht="17.25" x14ac:dyDescent="0.4">
      <c r="A34" s="6" t="s">
        <v>29</v>
      </c>
      <c r="B34" s="7">
        <v>1804.72</v>
      </c>
      <c r="D34" s="7">
        <v>3910.27</v>
      </c>
      <c r="F34" s="7">
        <v>2106</v>
      </c>
      <c r="H34" s="7">
        <v>2500</v>
      </c>
      <c r="J34" s="7">
        <v>2500</v>
      </c>
      <c r="L34" s="7">
        <v>2500</v>
      </c>
      <c r="N34" s="7">
        <v>2500</v>
      </c>
    </row>
    <row r="35" spans="1:14" ht="17.25" x14ac:dyDescent="0.4">
      <c r="A35" s="8" t="s">
        <v>28</v>
      </c>
      <c r="B35" s="9">
        <f>SUM(B28:B34)</f>
        <v>7399.06</v>
      </c>
      <c r="D35" s="9">
        <f>SUM(D28:D34)</f>
        <v>22871.140000000003</v>
      </c>
      <c r="F35" s="9">
        <f>SUM(F28:F34)</f>
        <v>30556</v>
      </c>
      <c r="H35" s="9">
        <f>SUM(H28:H34)</f>
        <v>36665.748599999999</v>
      </c>
      <c r="J35" s="9">
        <f>SUM(J28:J34)</f>
        <v>37316.063571999999</v>
      </c>
      <c r="L35" s="9">
        <f>SUM(L28:L34)</f>
        <v>37979.384843439999</v>
      </c>
      <c r="N35" s="9">
        <f>SUM(N28:N34)</f>
        <v>38655.972540308801</v>
      </c>
    </row>
    <row r="36" spans="1:14" ht="17.25" x14ac:dyDescent="0.4">
      <c r="A36" s="11" t="s">
        <v>27</v>
      </c>
      <c r="B36" s="9">
        <f>B26+B35</f>
        <v>41575.56</v>
      </c>
      <c r="D36" s="9">
        <f>D26+D35</f>
        <v>111856.23</v>
      </c>
      <c r="F36" s="9">
        <f>F26+F35</f>
        <v>178184</v>
      </c>
      <c r="H36" s="9">
        <f>H26+H35</f>
        <v>219878.14859999999</v>
      </c>
      <c r="J36" s="9">
        <f>J26+J35</f>
        <v>224192.711572</v>
      </c>
      <c r="L36" s="9">
        <f>L26+L35</f>
        <v>228593.56580344003</v>
      </c>
      <c r="N36" s="9">
        <f>N26+N35</f>
        <v>233082.43711950883</v>
      </c>
    </row>
    <row r="37" spans="1:14" ht="5.25" customHeight="1" x14ac:dyDescent="0.25"/>
    <row r="38" spans="1:14" x14ac:dyDescent="0.25">
      <c r="A38" s="5" t="s">
        <v>26</v>
      </c>
    </row>
    <row r="39" spans="1:14" x14ac:dyDescent="0.25">
      <c r="A39" s="6" t="s">
        <v>25</v>
      </c>
      <c r="B39" s="1">
        <v>2871</v>
      </c>
      <c r="D39" s="1">
        <v>3875</v>
      </c>
      <c r="F39" s="1">
        <v>3453</v>
      </c>
      <c r="H39" s="1">
        <v>3500</v>
      </c>
      <c r="J39" s="1">
        <f>H39*1.02</f>
        <v>3570</v>
      </c>
      <c r="L39" s="1">
        <f>J39*1.02</f>
        <v>3641.4</v>
      </c>
      <c r="N39" s="1">
        <f>L39*1.02</f>
        <v>3714.2280000000001</v>
      </c>
    </row>
    <row r="40" spans="1:14" x14ac:dyDescent="0.25">
      <c r="A40" s="6" t="s">
        <v>24</v>
      </c>
      <c r="B40" s="1">
        <v>143.06</v>
      </c>
      <c r="D40" s="1">
        <v>100.63</v>
      </c>
      <c r="F40" s="1">
        <v>500</v>
      </c>
      <c r="H40" s="1">
        <v>500</v>
      </c>
      <c r="J40" s="1">
        <v>500</v>
      </c>
      <c r="L40" s="1">
        <v>500</v>
      </c>
      <c r="N40" s="1">
        <v>500</v>
      </c>
    </row>
    <row r="41" spans="1:14" x14ac:dyDescent="0.25">
      <c r="A41" s="6" t="s">
        <v>23</v>
      </c>
      <c r="B41" s="1">
        <v>321.19</v>
      </c>
      <c r="D41" s="1">
        <v>1652.5</v>
      </c>
      <c r="F41" s="1">
        <v>2500</v>
      </c>
      <c r="H41" s="1">
        <v>2500</v>
      </c>
      <c r="J41" s="1">
        <f>H41*1.05</f>
        <v>2625</v>
      </c>
      <c r="L41" s="1">
        <f>J41*1.05</f>
        <v>2756.25</v>
      </c>
      <c r="N41" s="1">
        <f>L41*1.05</f>
        <v>2894.0625</v>
      </c>
    </row>
    <row r="42" spans="1:14" x14ac:dyDescent="0.25">
      <c r="A42" s="6" t="s">
        <v>67</v>
      </c>
      <c r="B42" s="1">
        <v>0</v>
      </c>
      <c r="D42" s="1">
        <v>0</v>
      </c>
      <c r="F42" s="1">
        <v>0</v>
      </c>
      <c r="H42" s="1">
        <v>0</v>
      </c>
      <c r="J42" s="1">
        <v>5000</v>
      </c>
      <c r="L42" s="1">
        <v>5000</v>
      </c>
      <c r="N42" s="1">
        <v>5000</v>
      </c>
    </row>
    <row r="43" spans="1:14" ht="17.25" x14ac:dyDescent="0.4">
      <c r="A43" s="6" t="s">
        <v>22</v>
      </c>
      <c r="B43" s="7">
        <v>674.59</v>
      </c>
      <c r="D43" s="7">
        <v>459.26</v>
      </c>
      <c r="F43" s="7">
        <v>2500</v>
      </c>
      <c r="H43" s="7">
        <v>2500</v>
      </c>
      <c r="J43" s="7">
        <v>2500</v>
      </c>
      <c r="L43" s="7">
        <v>2500</v>
      </c>
      <c r="N43" s="7">
        <v>2500</v>
      </c>
    </row>
    <row r="44" spans="1:14" ht="17.25" x14ac:dyDescent="0.4">
      <c r="A44" s="8" t="s">
        <v>21</v>
      </c>
      <c r="B44" s="9">
        <f>SUM(B39:B43)</f>
        <v>4009.84</v>
      </c>
      <c r="D44" s="9">
        <f>SUM(D39:D43)</f>
        <v>6087.39</v>
      </c>
      <c r="F44" s="9">
        <f>SUM(F39:F43)</f>
        <v>8953</v>
      </c>
      <c r="H44" s="9">
        <f>SUM(H39:H43)</f>
        <v>9000</v>
      </c>
      <c r="J44" s="9">
        <f>SUM(J39:J43)</f>
        <v>14195</v>
      </c>
      <c r="L44" s="9">
        <f>SUM(L39:L43)</f>
        <v>14397.65</v>
      </c>
      <c r="N44" s="9">
        <f>SUM(N39:N43)</f>
        <v>14608.290499999999</v>
      </c>
    </row>
    <row r="45" spans="1:14" ht="5.25" customHeight="1" x14ac:dyDescent="0.25"/>
    <row r="46" spans="1:14" x14ac:dyDescent="0.25">
      <c r="A46" s="5" t="s">
        <v>20</v>
      </c>
    </row>
    <row r="47" spans="1:14" x14ac:dyDescent="0.25">
      <c r="A47" s="12" t="s">
        <v>19</v>
      </c>
      <c r="B47" s="1">
        <v>0</v>
      </c>
      <c r="D47" s="1">
        <v>0</v>
      </c>
      <c r="F47" s="1">
        <v>0</v>
      </c>
      <c r="H47" s="1">
        <v>500</v>
      </c>
      <c r="J47" s="1">
        <v>500</v>
      </c>
      <c r="L47" s="1">
        <v>500</v>
      </c>
      <c r="N47" s="1">
        <v>500</v>
      </c>
    </row>
    <row r="48" spans="1:14" ht="17.25" x14ac:dyDescent="0.4">
      <c r="A48" s="6" t="s">
        <v>18</v>
      </c>
      <c r="B48" s="7">
        <v>438.42</v>
      </c>
      <c r="D48" s="7">
        <v>575.04</v>
      </c>
      <c r="F48" s="7">
        <v>1500</v>
      </c>
      <c r="H48" s="7">
        <v>1500</v>
      </c>
      <c r="J48" s="7">
        <v>1500</v>
      </c>
      <c r="L48" s="7">
        <v>1500</v>
      </c>
      <c r="N48" s="7">
        <v>1500</v>
      </c>
    </row>
    <row r="49" spans="1:14" ht="17.25" x14ac:dyDescent="0.4">
      <c r="A49" s="8" t="s">
        <v>17</v>
      </c>
      <c r="B49" s="9">
        <f>SUM(B47:B48)</f>
        <v>438.42</v>
      </c>
      <c r="D49" s="9">
        <f>SUM(D47:D48)</f>
        <v>575.04</v>
      </c>
      <c r="F49" s="9">
        <f>SUM(F47:F48)</f>
        <v>1500</v>
      </c>
      <c r="H49" s="9">
        <f>SUM(H47:H48)</f>
        <v>2000</v>
      </c>
      <c r="J49" s="9">
        <f>SUM(J47:J48)</f>
        <v>2000</v>
      </c>
      <c r="L49" s="9">
        <f>SUM(L47:L48)</f>
        <v>2000</v>
      </c>
      <c r="N49" s="9">
        <f>SUM(N47:N48)</f>
        <v>2000</v>
      </c>
    </row>
    <row r="50" spans="1:14" ht="5.25" customHeight="1" x14ac:dyDescent="0.25"/>
    <row r="51" spans="1:14" x14ac:dyDescent="0.25">
      <c r="A51" s="5" t="s">
        <v>16</v>
      </c>
    </row>
    <row r="52" spans="1:14" x14ac:dyDescent="0.25">
      <c r="A52" s="6" t="s">
        <v>15</v>
      </c>
      <c r="B52" s="1">
        <v>14.45</v>
      </c>
      <c r="D52" s="1">
        <v>83.4</v>
      </c>
      <c r="F52" s="1">
        <v>500</v>
      </c>
      <c r="H52" s="1">
        <v>500</v>
      </c>
      <c r="J52" s="1">
        <v>500</v>
      </c>
      <c r="L52" s="1">
        <v>500</v>
      </c>
      <c r="N52" s="1">
        <v>500</v>
      </c>
    </row>
    <row r="53" spans="1:14" x14ac:dyDescent="0.25">
      <c r="A53" s="6" t="s">
        <v>14</v>
      </c>
      <c r="B53" s="1">
        <v>15</v>
      </c>
      <c r="D53" s="1">
        <v>45</v>
      </c>
      <c r="F53" s="1">
        <v>60</v>
      </c>
      <c r="H53" s="1">
        <v>100</v>
      </c>
      <c r="J53" s="1">
        <v>100</v>
      </c>
      <c r="L53" s="1">
        <v>100</v>
      </c>
      <c r="N53" s="1">
        <v>100</v>
      </c>
    </row>
    <row r="54" spans="1:14" x14ac:dyDescent="0.25">
      <c r="A54" s="6" t="s">
        <v>13</v>
      </c>
      <c r="B54" s="1">
        <v>782</v>
      </c>
      <c r="D54" s="1">
        <v>200</v>
      </c>
      <c r="F54" s="1">
        <v>200</v>
      </c>
      <c r="H54" s="1">
        <v>200</v>
      </c>
      <c r="J54" s="1">
        <v>200</v>
      </c>
      <c r="L54" s="1">
        <v>200</v>
      </c>
      <c r="N54" s="1">
        <v>200</v>
      </c>
    </row>
    <row r="55" spans="1:14" x14ac:dyDescent="0.25">
      <c r="A55" s="6" t="s">
        <v>12</v>
      </c>
      <c r="B55" s="1">
        <v>764.97</v>
      </c>
      <c r="D55" s="1">
        <v>323.36</v>
      </c>
      <c r="F55" s="1">
        <v>500</v>
      </c>
      <c r="H55" s="1">
        <v>500</v>
      </c>
      <c r="J55" s="1">
        <v>500</v>
      </c>
      <c r="L55" s="1">
        <v>500</v>
      </c>
      <c r="N55" s="1">
        <v>500</v>
      </c>
    </row>
    <row r="56" spans="1:14" x14ac:dyDescent="0.25">
      <c r="A56" s="6" t="s">
        <v>11</v>
      </c>
      <c r="B56" s="1">
        <v>2288.5</v>
      </c>
      <c r="D56" s="1">
        <v>908</v>
      </c>
      <c r="F56" s="1">
        <v>1300</v>
      </c>
      <c r="H56" s="1">
        <v>1300</v>
      </c>
      <c r="J56" s="1">
        <v>1300</v>
      </c>
      <c r="L56" s="1">
        <v>1300</v>
      </c>
      <c r="N56" s="1">
        <v>1300</v>
      </c>
    </row>
    <row r="57" spans="1:14" x14ac:dyDescent="0.25">
      <c r="A57" s="6" t="s">
        <v>10</v>
      </c>
      <c r="B57" s="1">
        <v>2507.4699999999998</v>
      </c>
      <c r="D57" s="1">
        <v>2564.4499999999998</v>
      </c>
      <c r="F57" s="1">
        <v>3700</v>
      </c>
      <c r="H57" s="1">
        <v>4800</v>
      </c>
      <c r="J57" s="1">
        <v>4800</v>
      </c>
      <c r="L57" s="1">
        <v>4800</v>
      </c>
      <c r="N57" s="1">
        <v>4800</v>
      </c>
    </row>
    <row r="58" spans="1:14" x14ac:dyDescent="0.25">
      <c r="A58" s="6" t="s">
        <v>9</v>
      </c>
      <c r="B58" s="1">
        <v>17.28</v>
      </c>
      <c r="D58" s="1">
        <v>595</v>
      </c>
      <c r="F58" s="1">
        <v>1000</v>
      </c>
      <c r="H58" s="1">
        <v>1000</v>
      </c>
      <c r="J58" s="1">
        <v>1000</v>
      </c>
      <c r="L58" s="1">
        <v>1000</v>
      </c>
      <c r="N58" s="1">
        <v>1000</v>
      </c>
    </row>
    <row r="59" spans="1:14" x14ac:dyDescent="0.25">
      <c r="A59" s="6" t="s">
        <v>8</v>
      </c>
      <c r="B59" s="1">
        <v>3263.99</v>
      </c>
      <c r="D59" s="1">
        <v>1787.9</v>
      </c>
      <c r="F59" s="1">
        <v>2000</v>
      </c>
      <c r="H59" s="1">
        <v>1000</v>
      </c>
      <c r="J59" s="1">
        <v>1000</v>
      </c>
      <c r="L59" s="1">
        <v>1000</v>
      </c>
      <c r="N59" s="1">
        <v>1000</v>
      </c>
    </row>
    <row r="60" spans="1:14" x14ac:dyDescent="0.25">
      <c r="A60" s="6" t="s">
        <v>7</v>
      </c>
      <c r="B60" s="1">
        <v>1834.38</v>
      </c>
      <c r="D60" s="1">
        <v>6823.76</v>
      </c>
      <c r="F60" s="1">
        <v>5000</v>
      </c>
      <c r="H60" s="1">
        <v>5000</v>
      </c>
      <c r="J60" s="1">
        <f>H60*1.05</f>
        <v>5250</v>
      </c>
      <c r="L60" s="1">
        <f>J60*1.05</f>
        <v>5512.5</v>
      </c>
      <c r="N60" s="1">
        <f>L60*1.05</f>
        <v>5788.125</v>
      </c>
    </row>
    <row r="61" spans="1:14" x14ac:dyDescent="0.25">
      <c r="A61" s="6" t="s">
        <v>6</v>
      </c>
      <c r="B61" s="1">
        <v>0</v>
      </c>
      <c r="D61" s="1">
        <v>0</v>
      </c>
      <c r="F61" s="1">
        <f>200*10</f>
        <v>2000</v>
      </c>
      <c r="H61" s="1">
        <f>200*12</f>
        <v>2400</v>
      </c>
      <c r="J61" s="1">
        <f>200*12</f>
        <v>2400</v>
      </c>
      <c r="L61" s="1">
        <f>200*12</f>
        <v>2400</v>
      </c>
      <c r="N61" s="1">
        <f>200*12</f>
        <v>2400</v>
      </c>
    </row>
    <row r="62" spans="1:14" x14ac:dyDescent="0.25">
      <c r="A62" s="6" t="s">
        <v>5</v>
      </c>
      <c r="B62" s="1">
        <v>1500</v>
      </c>
      <c r="D62" s="1">
        <v>1000</v>
      </c>
      <c r="F62" s="1">
        <v>1500</v>
      </c>
      <c r="H62" s="1">
        <v>1500</v>
      </c>
      <c r="J62" s="1">
        <f>H62*1.05</f>
        <v>1575</v>
      </c>
      <c r="L62" s="1">
        <v>1650</v>
      </c>
      <c r="N62" s="1">
        <v>1750</v>
      </c>
    </row>
    <row r="63" spans="1:14" x14ac:dyDescent="0.25">
      <c r="A63" s="6" t="s">
        <v>4</v>
      </c>
      <c r="B63" s="1">
        <v>1320</v>
      </c>
      <c r="D63" s="1">
        <v>10000</v>
      </c>
      <c r="F63" s="1">
        <v>10000</v>
      </c>
      <c r="H63" s="1">
        <v>0</v>
      </c>
      <c r="J63" s="1">
        <v>0</v>
      </c>
      <c r="L63" s="1">
        <v>0</v>
      </c>
      <c r="N63" s="1">
        <v>0</v>
      </c>
    </row>
    <row r="64" spans="1:14" s="7" customFormat="1" ht="17.25" x14ac:dyDescent="0.4">
      <c r="A64" s="12" t="s">
        <v>3</v>
      </c>
      <c r="B64" s="7">
        <v>0</v>
      </c>
      <c r="D64" s="7">
        <v>4050</v>
      </c>
      <c r="F64" s="7">
        <v>4050</v>
      </c>
      <c r="H64" s="7">
        <v>4050</v>
      </c>
      <c r="J64" s="7">
        <f>H64+150</f>
        <v>4200</v>
      </c>
      <c r="L64" s="7">
        <f>J64+150</f>
        <v>4350</v>
      </c>
      <c r="N64" s="7">
        <f>L64+150</f>
        <v>4500</v>
      </c>
    </row>
    <row r="65" spans="1:14" ht="17.25" x14ac:dyDescent="0.4">
      <c r="A65" s="8" t="s">
        <v>2</v>
      </c>
      <c r="B65" s="9">
        <f>SUM(B52:B64)</f>
        <v>14308.04</v>
      </c>
      <c r="D65" s="9">
        <f>SUM(D52:D64)</f>
        <v>28380.870000000003</v>
      </c>
      <c r="F65" s="9">
        <f>SUM(F52:F64)</f>
        <v>31810</v>
      </c>
      <c r="H65" s="9">
        <f>SUM(H52:H64)</f>
        <v>22350</v>
      </c>
      <c r="J65" s="9">
        <f>SUM(J52:J64)</f>
        <v>22825</v>
      </c>
      <c r="L65" s="9">
        <f>SUM(L52:L64)</f>
        <v>23312.5</v>
      </c>
      <c r="N65" s="9">
        <f>SUM(N52:N64)</f>
        <v>23838.125</v>
      </c>
    </row>
    <row r="66" spans="1:14" ht="17.25" x14ac:dyDescent="0.4">
      <c r="A66" s="11" t="s">
        <v>1</v>
      </c>
      <c r="B66" s="9">
        <f>B65+B49+B44+B36</f>
        <v>60331.86</v>
      </c>
      <c r="D66" s="9">
        <f>D65+D49+D44+D36</f>
        <v>146899.53</v>
      </c>
      <c r="F66" s="9">
        <f>F65+F49+F44+F36</f>
        <v>220447</v>
      </c>
      <c r="H66" s="9">
        <f>H65+H49+H44+H36</f>
        <v>253228.14859999999</v>
      </c>
      <c r="J66" s="9">
        <f>J65+J49+J44+J36</f>
        <v>263212.711572</v>
      </c>
      <c r="L66" s="9">
        <f>L65+L49+L44+L36</f>
        <v>268303.71580344002</v>
      </c>
      <c r="N66" s="9">
        <f>N65+N49+N44+N36</f>
        <v>273528.85261950886</v>
      </c>
    </row>
    <row r="67" spans="1:14" ht="5.25" customHeight="1" x14ac:dyDescent="0.25"/>
    <row r="68" spans="1:14" ht="17.25" x14ac:dyDescent="0.4">
      <c r="A68" s="13" t="s">
        <v>0</v>
      </c>
      <c r="B68" s="14">
        <f>B17-B66</f>
        <v>153845.25</v>
      </c>
      <c r="D68" s="14">
        <f>D17-D66</f>
        <v>9052.2299999999814</v>
      </c>
      <c r="F68" s="14">
        <f>F17-F66</f>
        <v>-18947</v>
      </c>
      <c r="H68" s="14">
        <f>H17-H66</f>
        <v>23271.851400000014</v>
      </c>
      <c r="J68" s="14">
        <f>J17-J66</f>
        <v>50987.288428</v>
      </c>
      <c r="L68" s="14">
        <f>L17-L66</f>
        <v>48356.28419655998</v>
      </c>
      <c r="N68" s="14">
        <f>N17-N66</f>
        <v>45714.147380491137</v>
      </c>
    </row>
  </sheetData>
  <pageMargins left="0.7" right="0.7" top="1.0520833333333333" bottom="0.75" header="0.3" footer="0.3"/>
  <pageSetup scale="61" fitToHeight="0" orientation="landscape" r:id="rId1"/>
  <headerFooter>
    <oddHeader xml:space="preserve">&amp;C&amp;"-,Bold"&amp;14OWASCO LAKE WATERSHED MANAGEMENT COUNCIL, INC.
2020 Budget&amp;RDraft 10.14.19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Normal="100" workbookViewId="0">
      <pane xSplit="1" ySplit="2" topLeftCell="E3" activePane="bottomRight" state="frozen"/>
      <selection pane="topRight" activeCell="B1" sqref="B1"/>
      <selection pane="bottomLeft" activeCell="A3" sqref="A3"/>
      <selection pane="bottomRight" activeCell="H15" sqref="H15"/>
    </sheetView>
  </sheetViews>
  <sheetFormatPr defaultRowHeight="15" x14ac:dyDescent="0.25"/>
  <cols>
    <col min="1" max="1" width="43.28515625" style="1" customWidth="1"/>
    <col min="2" max="2" width="17.28515625" style="1" customWidth="1"/>
    <col min="3" max="3" width="3.28515625" style="1" customWidth="1"/>
    <col min="4" max="4" width="17.28515625" style="1" customWidth="1"/>
    <col min="5" max="5" width="3.28515625" style="1" customWidth="1"/>
    <col min="6" max="6" width="17.28515625" style="1" customWidth="1"/>
    <col min="7" max="7" width="3.28515625" style="1" customWidth="1"/>
    <col min="8" max="8" width="17.28515625" style="1" customWidth="1"/>
    <col min="9" max="9" width="3.28515625" style="1" customWidth="1"/>
    <col min="10" max="10" width="17.28515625" style="1" customWidth="1"/>
    <col min="11" max="11" width="3.28515625" style="1" customWidth="1"/>
    <col min="12" max="12" width="17.28515625" style="1" customWidth="1"/>
    <col min="13" max="13" width="3.28515625" style="1" customWidth="1"/>
    <col min="14" max="14" width="17.28515625" style="1" customWidth="1"/>
    <col min="15" max="15" width="3.28515625" style="1" customWidth="1"/>
    <col min="16" max="16" width="17.28515625" style="1" customWidth="1"/>
    <col min="17" max="17" width="3.28515625" style="1" customWidth="1"/>
    <col min="18" max="16384" width="9.140625" style="1"/>
  </cols>
  <sheetData>
    <row r="1" spans="1:17" ht="45" x14ac:dyDescent="0.25">
      <c r="B1" s="2" t="s">
        <v>56</v>
      </c>
      <c r="C1" s="3"/>
      <c r="D1" s="2" t="s">
        <v>68</v>
      </c>
      <c r="E1" s="3"/>
      <c r="F1" s="2" t="s">
        <v>70</v>
      </c>
      <c r="G1" s="3"/>
      <c r="H1" s="2" t="s">
        <v>69</v>
      </c>
      <c r="I1" s="3"/>
      <c r="J1" s="2" t="s">
        <v>58</v>
      </c>
      <c r="K1" s="3"/>
      <c r="L1" s="2" t="s">
        <v>59</v>
      </c>
      <c r="M1" s="3"/>
      <c r="N1" s="2" t="s">
        <v>60</v>
      </c>
      <c r="O1" s="3"/>
      <c r="P1" s="2" t="s">
        <v>72</v>
      </c>
      <c r="Q1" s="3"/>
    </row>
    <row r="2" spans="1:17" ht="5.25" customHeight="1" x14ac:dyDescent="0.25"/>
    <row r="3" spans="1:17" x14ac:dyDescent="0.25">
      <c r="A3" s="4" t="s">
        <v>53</v>
      </c>
    </row>
    <row r="4" spans="1:17" x14ac:dyDescent="0.25">
      <c r="A4" s="5" t="s">
        <v>52</v>
      </c>
    </row>
    <row r="5" spans="1:17" x14ac:dyDescent="0.25">
      <c r="A5" s="6" t="s">
        <v>51</v>
      </c>
      <c r="B5" s="1">
        <v>112500</v>
      </c>
      <c r="D5" s="1">
        <v>179124.73</v>
      </c>
      <c r="F5" s="1">
        <v>100000</v>
      </c>
      <c r="H5" s="1">
        <v>200000</v>
      </c>
      <c r="J5" s="1">
        <v>200000</v>
      </c>
      <c r="L5" s="1">
        <v>225000</v>
      </c>
      <c r="N5" s="1">
        <v>250000</v>
      </c>
      <c r="P5" s="1">
        <v>275000</v>
      </c>
    </row>
    <row r="6" spans="1:17" x14ac:dyDescent="0.25">
      <c r="A6" s="6" t="s">
        <v>50</v>
      </c>
      <c r="B6" s="1">
        <v>89406.69</v>
      </c>
      <c r="D6" s="1">
        <v>0</v>
      </c>
      <c r="F6" s="1">
        <v>0</v>
      </c>
      <c r="H6" s="1">
        <v>0</v>
      </c>
      <c r="J6" s="1">
        <v>0</v>
      </c>
      <c r="L6" s="1">
        <f t="shared" ref="L6:L15" si="0">J6*1.05</f>
        <v>0</v>
      </c>
      <c r="N6" s="1">
        <f t="shared" ref="N6:N15" si="1">L6*1.05</f>
        <v>0</v>
      </c>
      <c r="P6" s="1">
        <f t="shared" ref="P6" si="2">N6*1.05</f>
        <v>0</v>
      </c>
    </row>
    <row r="7" spans="1:17" x14ac:dyDescent="0.25">
      <c r="A7" s="6" t="s">
        <v>66</v>
      </c>
      <c r="B7" s="1">
        <v>0</v>
      </c>
      <c r="D7" s="1">
        <v>0</v>
      </c>
      <c r="F7" s="1">
        <v>0</v>
      </c>
      <c r="H7" s="15">
        <v>0</v>
      </c>
      <c r="I7" s="15"/>
      <c r="J7" s="15">
        <v>15000</v>
      </c>
      <c r="K7" s="15"/>
      <c r="L7" s="15">
        <v>15000</v>
      </c>
      <c r="M7" s="15"/>
      <c r="N7" s="15">
        <v>15000</v>
      </c>
      <c r="P7" s="15">
        <v>15000</v>
      </c>
    </row>
    <row r="8" spans="1:17" x14ac:dyDescent="0.25">
      <c r="A8" s="6" t="s">
        <v>49</v>
      </c>
      <c r="B8" s="1">
        <v>12270.42</v>
      </c>
      <c r="D8" s="1">
        <v>28200</v>
      </c>
      <c r="F8" s="1">
        <v>26176.07</v>
      </c>
      <c r="H8" s="1">
        <v>25000</v>
      </c>
      <c r="J8" s="1">
        <f>H8*1.05</f>
        <v>26250</v>
      </c>
      <c r="L8" s="1">
        <f t="shared" si="0"/>
        <v>27562.5</v>
      </c>
      <c r="N8" s="1">
        <f t="shared" si="1"/>
        <v>28940.625</v>
      </c>
      <c r="P8" s="1">
        <f t="shared" ref="P8:P15" si="3">N8*1.05</f>
        <v>30387.65625</v>
      </c>
    </row>
    <row r="9" spans="1:17" x14ac:dyDescent="0.25">
      <c r="A9" s="6" t="s">
        <v>48</v>
      </c>
      <c r="B9" s="1">
        <v>0</v>
      </c>
      <c r="D9" s="1">
        <v>3706.53</v>
      </c>
      <c r="F9" s="1">
        <v>7000</v>
      </c>
      <c r="H9" s="1">
        <v>7000</v>
      </c>
      <c r="J9" s="1">
        <f>H9*1.05</f>
        <v>7350</v>
      </c>
      <c r="L9" s="1">
        <f t="shared" si="0"/>
        <v>7717.5</v>
      </c>
      <c r="N9" s="1">
        <f t="shared" si="1"/>
        <v>8103.375</v>
      </c>
      <c r="P9" s="1">
        <f t="shared" si="3"/>
        <v>8508.5437500000007</v>
      </c>
    </row>
    <row r="10" spans="1:17" x14ac:dyDescent="0.25">
      <c r="A10" s="6" t="s">
        <v>47</v>
      </c>
      <c r="B10" s="1">
        <v>0</v>
      </c>
      <c r="D10" s="1">
        <v>40.42</v>
      </c>
      <c r="F10" s="1">
        <v>0</v>
      </c>
      <c r="H10" s="15">
        <v>2000</v>
      </c>
      <c r="I10" s="15"/>
      <c r="J10" s="15">
        <f>H10*1.05</f>
        <v>2100</v>
      </c>
      <c r="K10" s="15"/>
      <c r="L10" s="15">
        <f t="shared" si="0"/>
        <v>2205</v>
      </c>
      <c r="M10" s="15"/>
      <c r="N10" s="15">
        <f t="shared" si="1"/>
        <v>2315.25</v>
      </c>
      <c r="P10" s="15">
        <f t="shared" si="3"/>
        <v>2431.0125000000003</v>
      </c>
    </row>
    <row r="11" spans="1:17" x14ac:dyDescent="0.25">
      <c r="A11" s="6" t="s">
        <v>61</v>
      </c>
      <c r="B11" s="1">
        <v>0</v>
      </c>
      <c r="D11" s="1">
        <v>0</v>
      </c>
      <c r="F11" s="1">
        <v>0</v>
      </c>
      <c r="H11" s="1">
        <v>0</v>
      </c>
      <c r="J11" s="1">
        <v>2000</v>
      </c>
      <c r="L11" s="1">
        <f t="shared" si="0"/>
        <v>2100</v>
      </c>
      <c r="N11" s="1">
        <f t="shared" si="1"/>
        <v>2205</v>
      </c>
      <c r="P11" s="1">
        <f t="shared" si="3"/>
        <v>2315.25</v>
      </c>
    </row>
    <row r="12" spans="1:17" x14ac:dyDescent="0.25">
      <c r="A12" s="6" t="s">
        <v>62</v>
      </c>
      <c r="B12" s="1">
        <v>0</v>
      </c>
      <c r="D12" s="1">
        <v>0</v>
      </c>
      <c r="F12" s="1">
        <v>0</v>
      </c>
      <c r="H12" s="1">
        <v>2000</v>
      </c>
      <c r="J12" s="1">
        <v>2000</v>
      </c>
      <c r="L12" s="1">
        <f t="shared" si="0"/>
        <v>2100</v>
      </c>
      <c r="N12" s="1">
        <f t="shared" si="1"/>
        <v>2205</v>
      </c>
      <c r="P12" s="1">
        <f t="shared" si="3"/>
        <v>2315.25</v>
      </c>
    </row>
    <row r="13" spans="1:17" x14ac:dyDescent="0.25">
      <c r="A13" s="6" t="s">
        <v>63</v>
      </c>
      <c r="B13" s="1">
        <v>0</v>
      </c>
      <c r="D13" s="1">
        <v>0</v>
      </c>
      <c r="F13" s="1">
        <v>0</v>
      </c>
      <c r="H13" s="1">
        <v>0</v>
      </c>
      <c r="J13" s="1">
        <v>1000</v>
      </c>
      <c r="L13" s="1">
        <f t="shared" si="0"/>
        <v>1050</v>
      </c>
      <c r="N13" s="1">
        <f t="shared" si="1"/>
        <v>1102.5</v>
      </c>
      <c r="P13" s="1">
        <f t="shared" si="3"/>
        <v>1157.625</v>
      </c>
    </row>
    <row r="14" spans="1:17" x14ac:dyDescent="0.25">
      <c r="A14" s="6" t="s">
        <v>64</v>
      </c>
      <c r="B14" s="1">
        <v>0</v>
      </c>
      <c r="D14" s="1">
        <v>0</v>
      </c>
      <c r="F14" s="1">
        <v>0</v>
      </c>
      <c r="H14" s="1">
        <v>0</v>
      </c>
      <c r="J14" s="1">
        <v>1000</v>
      </c>
      <c r="L14" s="1">
        <f t="shared" si="0"/>
        <v>1050</v>
      </c>
      <c r="N14" s="1">
        <f t="shared" si="1"/>
        <v>1102.5</v>
      </c>
      <c r="P14" s="1">
        <f t="shared" si="3"/>
        <v>1157.625</v>
      </c>
    </row>
    <row r="15" spans="1:17" x14ac:dyDescent="0.25">
      <c r="A15" s="6" t="s">
        <v>65</v>
      </c>
      <c r="B15" s="1">
        <v>0</v>
      </c>
      <c r="D15" s="1">
        <v>0</v>
      </c>
      <c r="F15" s="1">
        <v>0</v>
      </c>
      <c r="H15" s="1">
        <v>0</v>
      </c>
      <c r="J15" s="1">
        <v>5000</v>
      </c>
      <c r="L15" s="1">
        <f t="shared" si="0"/>
        <v>5250</v>
      </c>
      <c r="N15" s="1">
        <f t="shared" si="1"/>
        <v>5512.5</v>
      </c>
      <c r="P15" s="1">
        <f t="shared" si="3"/>
        <v>5788.125</v>
      </c>
    </row>
    <row r="16" spans="1:17" s="10" customFormat="1" x14ac:dyDescent="0.25">
      <c r="A16" s="12" t="s">
        <v>46</v>
      </c>
      <c r="B16" s="10">
        <v>0</v>
      </c>
      <c r="D16" s="10">
        <v>4500</v>
      </c>
      <c r="F16" s="10">
        <v>0</v>
      </c>
      <c r="H16" s="10">
        <v>2500</v>
      </c>
      <c r="J16" s="10">
        <v>2500</v>
      </c>
      <c r="L16" s="10">
        <f>J16*1.05</f>
        <v>2625</v>
      </c>
      <c r="N16" s="10">
        <f>L16*1.05</f>
        <v>2756.25</v>
      </c>
      <c r="P16" s="10">
        <f>N16*1.05</f>
        <v>2894.0625</v>
      </c>
    </row>
    <row r="17" spans="1:17" ht="17.25" x14ac:dyDescent="0.4">
      <c r="A17" s="6" t="s">
        <v>71</v>
      </c>
      <c r="B17" s="7">
        <v>0</v>
      </c>
      <c r="C17" s="7"/>
      <c r="D17" s="7">
        <v>0</v>
      </c>
      <c r="E17" s="7"/>
      <c r="F17" s="7">
        <v>668.34</v>
      </c>
      <c r="G17" s="7"/>
      <c r="H17" s="7">
        <v>0</v>
      </c>
      <c r="I17" s="7"/>
      <c r="J17" s="7">
        <v>0</v>
      </c>
      <c r="K17" s="7"/>
      <c r="L17" s="7">
        <v>0</v>
      </c>
      <c r="M17" s="7"/>
      <c r="N17" s="7">
        <f>L17*1.05</f>
        <v>0</v>
      </c>
      <c r="O17" s="7"/>
      <c r="P17" s="7">
        <f>N17*1.05</f>
        <v>0</v>
      </c>
      <c r="Q17" s="7"/>
    </row>
    <row r="18" spans="1:17" ht="17.25" x14ac:dyDescent="0.4">
      <c r="A18" s="8" t="s">
        <v>45</v>
      </c>
      <c r="B18" s="9">
        <f>SUM(B5:B17)</f>
        <v>214177.11000000002</v>
      </c>
      <c r="D18" s="9">
        <f>SUM(D5:D17)</f>
        <v>215571.68000000002</v>
      </c>
      <c r="F18" s="9">
        <f>SUM(F5:F17)</f>
        <v>133844.41</v>
      </c>
      <c r="H18" s="9">
        <f>SUM(H5:H17)</f>
        <v>238500</v>
      </c>
      <c r="J18" s="9">
        <f>SUM(J5:J17)</f>
        <v>264200</v>
      </c>
      <c r="L18" s="9">
        <f>SUM(L5:L17)</f>
        <v>291660</v>
      </c>
      <c r="N18" s="9">
        <f>SUM(N5:N17)</f>
        <v>319243</v>
      </c>
      <c r="P18" s="9">
        <f>SUM(P5:P17)</f>
        <v>346955.15</v>
      </c>
    </row>
    <row r="19" spans="1:17" ht="5.25" customHeight="1" x14ac:dyDescent="0.25"/>
    <row r="20" spans="1:17" x14ac:dyDescent="0.25">
      <c r="A20" s="4" t="s">
        <v>44</v>
      </c>
    </row>
    <row r="21" spans="1:17" x14ac:dyDescent="0.25">
      <c r="A21" s="5" t="s">
        <v>43</v>
      </c>
    </row>
    <row r="22" spans="1:17" x14ac:dyDescent="0.25">
      <c r="A22" s="6" t="s">
        <v>42</v>
      </c>
      <c r="B22" s="1">
        <v>0</v>
      </c>
      <c r="D22" s="1">
        <v>65423.19</v>
      </c>
      <c r="F22" s="1">
        <v>42998.67</v>
      </c>
      <c r="H22" s="1">
        <v>82620</v>
      </c>
      <c r="J22" s="1">
        <f>H22*1.02</f>
        <v>84272.400000000009</v>
      </c>
      <c r="L22" s="1">
        <f>J22*1.02</f>
        <v>85957.848000000013</v>
      </c>
      <c r="N22" s="1">
        <f>L22*1.02</f>
        <v>87677.00496000002</v>
      </c>
      <c r="P22" s="1">
        <f>N22*1.02</f>
        <v>89430.545059200027</v>
      </c>
    </row>
    <row r="23" spans="1:17" x14ac:dyDescent="0.25">
      <c r="A23" s="6" t="s">
        <v>41</v>
      </c>
      <c r="B23" s="1">
        <v>0</v>
      </c>
      <c r="D23" s="1">
        <f>56000.1-1475</f>
        <v>54525.1</v>
      </c>
      <c r="F23" s="1">
        <f>30384.21-117.32</f>
        <v>30266.89</v>
      </c>
      <c r="H23" s="1">
        <v>58262</v>
      </c>
      <c r="J23" s="1">
        <f t="shared" ref="J23:J24" si="4">H23*1.02</f>
        <v>59427.24</v>
      </c>
      <c r="L23" s="1">
        <f t="shared" ref="L23:N24" si="5">J23*1.02</f>
        <v>60615.784800000001</v>
      </c>
      <c r="N23" s="1">
        <f t="shared" si="5"/>
        <v>61828.100495999999</v>
      </c>
      <c r="P23" s="1">
        <f t="shared" ref="P23:P24" si="6">N23*1.02</f>
        <v>63064.662505920001</v>
      </c>
    </row>
    <row r="24" spans="1:17" x14ac:dyDescent="0.25">
      <c r="A24" s="6" t="s">
        <v>40</v>
      </c>
      <c r="B24" s="1">
        <v>0</v>
      </c>
      <c r="D24" s="1">
        <v>0</v>
      </c>
      <c r="F24" s="1">
        <f>23129.68-195.68+39.68</f>
        <v>22973.68</v>
      </c>
      <c r="H24" s="1">
        <v>42330</v>
      </c>
      <c r="J24" s="1">
        <f t="shared" si="4"/>
        <v>43176.6</v>
      </c>
      <c r="L24" s="1">
        <f t="shared" si="5"/>
        <v>44040.131999999998</v>
      </c>
      <c r="N24" s="1">
        <f t="shared" si="5"/>
        <v>44920.934639999999</v>
      </c>
      <c r="P24" s="1">
        <f t="shared" si="6"/>
        <v>45819.353332799998</v>
      </c>
    </row>
    <row r="25" spans="1:17" x14ac:dyDescent="0.25">
      <c r="A25" s="6" t="s">
        <v>39</v>
      </c>
      <c r="B25" s="10">
        <v>0</v>
      </c>
      <c r="C25" s="10"/>
      <c r="D25" s="10">
        <f>6187.5+9600+690.98+4668</f>
        <v>21146.48</v>
      </c>
      <c r="E25" s="10"/>
      <c r="F25" s="10">
        <f>-690.98+101</f>
        <v>-589.98</v>
      </c>
      <c r="G25" s="10"/>
      <c r="H25" s="10">
        <v>0</v>
      </c>
      <c r="I25" s="10"/>
      <c r="J25" s="10">
        <v>0</v>
      </c>
      <c r="K25" s="10"/>
      <c r="L25" s="10">
        <v>0</v>
      </c>
      <c r="M25" s="10"/>
      <c r="N25" s="10">
        <v>0</v>
      </c>
      <c r="O25" s="10"/>
      <c r="P25" s="10">
        <v>0</v>
      </c>
      <c r="Q25" s="10"/>
    </row>
    <row r="26" spans="1:17" ht="17.25" x14ac:dyDescent="0.4">
      <c r="A26" s="6" t="s">
        <v>38</v>
      </c>
      <c r="B26" s="7">
        <v>0</v>
      </c>
      <c r="D26" s="7">
        <v>-10750.74</v>
      </c>
      <c r="F26" s="7">
        <v>0</v>
      </c>
      <c r="H26" s="7">
        <v>0</v>
      </c>
      <c r="J26" s="7">
        <v>0</v>
      </c>
      <c r="L26" s="7">
        <v>0</v>
      </c>
      <c r="N26" s="7">
        <v>0</v>
      </c>
      <c r="P26" s="7">
        <v>0</v>
      </c>
    </row>
    <row r="27" spans="1:17" ht="17.25" x14ac:dyDescent="0.4">
      <c r="A27" s="8" t="s">
        <v>37</v>
      </c>
      <c r="B27" s="9">
        <v>34176.5</v>
      </c>
      <c r="D27" s="9">
        <f>SUM(D22:D26)</f>
        <v>130344.03000000001</v>
      </c>
      <c r="F27" s="9">
        <f>SUM(F22:F26)</f>
        <v>95649.26</v>
      </c>
      <c r="H27" s="9">
        <f>SUM(H22:H26)</f>
        <v>183212</v>
      </c>
      <c r="J27" s="9">
        <f>SUM(J22:J26)</f>
        <v>186876.24000000002</v>
      </c>
      <c r="L27" s="9">
        <f>SUM(L22:L26)</f>
        <v>190613.7648</v>
      </c>
      <c r="N27" s="9">
        <f>SUM(N22:N26)</f>
        <v>194426.04009600001</v>
      </c>
      <c r="P27" s="9">
        <f>SUM(P22:P26)</f>
        <v>198314.56089792002</v>
      </c>
    </row>
    <row r="28" spans="1:17" x14ac:dyDescent="0.25">
      <c r="A28" s="5" t="s">
        <v>36</v>
      </c>
    </row>
    <row r="29" spans="1:17" x14ac:dyDescent="0.25">
      <c r="A29" s="6" t="s">
        <v>35</v>
      </c>
      <c r="B29" s="1">
        <v>2501.67</v>
      </c>
      <c r="D29" s="1">
        <v>10712.58</v>
      </c>
      <c r="F29" s="1">
        <v>7383.16</v>
      </c>
      <c r="H29" s="1">
        <v>14016</v>
      </c>
      <c r="J29" s="1">
        <f>J27*0.0765</f>
        <v>14296.032360000001</v>
      </c>
      <c r="L29" s="1">
        <f>L27*0.0765</f>
        <v>14581.9530072</v>
      </c>
      <c r="N29" s="1">
        <f>N27*0.0765</f>
        <v>14873.592067344001</v>
      </c>
      <c r="P29" s="1">
        <f>P27*0.0765</f>
        <v>15171.063908690881</v>
      </c>
    </row>
    <row r="30" spans="1:17" x14ac:dyDescent="0.25">
      <c r="A30" s="6" t="s">
        <v>34</v>
      </c>
      <c r="B30" s="1">
        <v>459.77</v>
      </c>
      <c r="D30" s="1">
        <f>1492.81+32.47</f>
        <v>1525.28</v>
      </c>
      <c r="F30" s="1">
        <v>1113.57</v>
      </c>
      <c r="H30" s="1">
        <v>1500</v>
      </c>
      <c r="J30" s="1">
        <v>1500</v>
      </c>
      <c r="L30" s="1">
        <v>1500</v>
      </c>
      <c r="N30" s="1">
        <v>1500</v>
      </c>
      <c r="P30" s="1">
        <v>1500</v>
      </c>
    </row>
    <row r="31" spans="1:17" x14ac:dyDescent="0.25">
      <c r="A31" s="6" t="s">
        <v>33</v>
      </c>
      <c r="B31" s="1">
        <v>0</v>
      </c>
      <c r="D31" s="1">
        <v>0</v>
      </c>
      <c r="F31" s="1">
        <v>0</v>
      </c>
      <c r="H31" s="1">
        <v>0</v>
      </c>
      <c r="J31" s="1">
        <v>0</v>
      </c>
      <c r="L31" s="1">
        <v>0</v>
      </c>
      <c r="N31" s="1">
        <v>0</v>
      </c>
      <c r="P31" s="1">
        <v>0</v>
      </c>
    </row>
    <row r="32" spans="1:17" x14ac:dyDescent="0.25">
      <c r="A32" s="6" t="s">
        <v>32</v>
      </c>
      <c r="B32" s="1">
        <v>0</v>
      </c>
      <c r="D32" s="1">
        <v>0</v>
      </c>
      <c r="F32" s="1">
        <v>0</v>
      </c>
      <c r="H32" s="1">
        <v>0</v>
      </c>
      <c r="J32" s="1">
        <v>0</v>
      </c>
      <c r="L32" s="1">
        <v>0</v>
      </c>
      <c r="N32" s="1">
        <v>0</v>
      </c>
      <c r="P32" s="1">
        <v>0</v>
      </c>
    </row>
    <row r="33" spans="1:16" x14ac:dyDescent="0.25">
      <c r="A33" s="6" t="s">
        <v>31</v>
      </c>
      <c r="B33" s="1">
        <v>2584.64</v>
      </c>
      <c r="D33" s="1">
        <f>16540.63</f>
        <v>16540.63</v>
      </c>
      <c r="F33" s="1">
        <v>10483.799999999999</v>
      </c>
      <c r="H33" s="1">
        <v>18500</v>
      </c>
      <c r="J33" s="1">
        <f>H33*1.02</f>
        <v>18870</v>
      </c>
      <c r="L33" s="1">
        <f>J33*1.02</f>
        <v>19247.400000000001</v>
      </c>
      <c r="N33" s="1">
        <f>L33*1.02</f>
        <v>19632.348000000002</v>
      </c>
      <c r="P33" s="1">
        <f>N33*1.02</f>
        <v>20024.994960000004</v>
      </c>
    </row>
    <row r="34" spans="1:16" x14ac:dyDescent="0.25">
      <c r="A34" s="6" t="s">
        <v>30</v>
      </c>
      <c r="B34" s="1">
        <f>48.26</f>
        <v>48.26</v>
      </c>
      <c r="D34" s="1">
        <f>-294.18</f>
        <v>-294.18</v>
      </c>
      <c r="F34" s="1">
        <v>714.14</v>
      </c>
      <c r="H34" s="1">
        <v>150</v>
      </c>
      <c r="J34" s="1">
        <v>150</v>
      </c>
      <c r="L34" s="1">
        <v>150</v>
      </c>
      <c r="N34" s="1">
        <v>150</v>
      </c>
      <c r="P34" s="1">
        <v>150</v>
      </c>
    </row>
    <row r="35" spans="1:16" ht="17.25" x14ac:dyDescent="0.4">
      <c r="A35" s="6" t="s">
        <v>29</v>
      </c>
      <c r="B35" s="7">
        <v>1804.72</v>
      </c>
      <c r="D35" s="7">
        <v>3910.27</v>
      </c>
      <c r="F35" s="7">
        <v>1739.74</v>
      </c>
      <c r="H35" s="7">
        <v>2500</v>
      </c>
      <c r="J35" s="7">
        <v>2500</v>
      </c>
      <c r="L35" s="7">
        <v>2500</v>
      </c>
      <c r="N35" s="7">
        <v>2500</v>
      </c>
      <c r="P35" s="7">
        <v>2500</v>
      </c>
    </row>
    <row r="36" spans="1:16" ht="17.25" x14ac:dyDescent="0.4">
      <c r="A36" s="8" t="s">
        <v>28</v>
      </c>
      <c r="B36" s="9">
        <f>SUM(B29:B35)</f>
        <v>7399.06</v>
      </c>
      <c r="D36" s="9">
        <f>SUM(D29:D35)</f>
        <v>32394.58</v>
      </c>
      <c r="F36" s="9">
        <f>SUM(F29:F35)</f>
        <v>21434.41</v>
      </c>
      <c r="H36" s="9">
        <f>SUM(H29:H35)</f>
        <v>36666</v>
      </c>
      <c r="J36" s="9">
        <f>SUM(J29:J35)</f>
        <v>37316.032359999997</v>
      </c>
      <c r="L36" s="9">
        <f>SUM(L29:L35)</f>
        <v>37979.353007199999</v>
      </c>
      <c r="N36" s="9">
        <f>SUM(N29:N35)</f>
        <v>38655.940067344003</v>
      </c>
      <c r="P36" s="9">
        <f>SUM(P29:P35)</f>
        <v>39346.058868690889</v>
      </c>
    </row>
    <row r="37" spans="1:16" ht="17.25" x14ac:dyDescent="0.4">
      <c r="A37" s="11" t="s">
        <v>27</v>
      </c>
      <c r="B37" s="9">
        <f>B27+B36</f>
        <v>41575.56</v>
      </c>
      <c r="D37" s="9">
        <f>D27+D36</f>
        <v>162738.61000000002</v>
      </c>
      <c r="F37" s="9">
        <f>F27+F36</f>
        <v>117083.67</v>
      </c>
      <c r="H37" s="9">
        <f>H27+H36</f>
        <v>219878</v>
      </c>
      <c r="J37" s="9">
        <f>J27+J36</f>
        <v>224192.27236</v>
      </c>
      <c r="L37" s="9">
        <f>L27+L36</f>
        <v>228593.1178072</v>
      </c>
      <c r="N37" s="9">
        <f>N27+N36</f>
        <v>233081.98016334401</v>
      </c>
      <c r="P37" s="9">
        <f>P27+P36</f>
        <v>237660.61976661091</v>
      </c>
    </row>
    <row r="38" spans="1:16" ht="5.25" customHeight="1" x14ac:dyDescent="0.25"/>
    <row r="39" spans="1:16" x14ac:dyDescent="0.25">
      <c r="A39" s="5" t="s">
        <v>26</v>
      </c>
    </row>
    <row r="40" spans="1:16" x14ac:dyDescent="0.25">
      <c r="A40" s="6" t="s">
        <v>25</v>
      </c>
      <c r="B40" s="1">
        <v>2871</v>
      </c>
      <c r="D40" s="1">
        <v>3875</v>
      </c>
      <c r="F40" s="1">
        <v>3438</v>
      </c>
      <c r="H40" s="1">
        <v>3500</v>
      </c>
      <c r="J40" s="1">
        <f>H40*1.02</f>
        <v>3570</v>
      </c>
      <c r="L40" s="1">
        <f>J40*1.02</f>
        <v>3641.4</v>
      </c>
      <c r="N40" s="1">
        <f>L40*1.02</f>
        <v>3714.2280000000001</v>
      </c>
      <c r="P40" s="1">
        <f>N40*1.02</f>
        <v>3788.5125600000001</v>
      </c>
    </row>
    <row r="41" spans="1:16" x14ac:dyDescent="0.25">
      <c r="A41" s="6" t="s">
        <v>24</v>
      </c>
      <c r="B41" s="1">
        <v>143.06</v>
      </c>
      <c r="D41" s="1">
        <v>136.59</v>
      </c>
      <c r="F41" s="1">
        <v>211.21</v>
      </c>
      <c r="H41" s="1">
        <v>500</v>
      </c>
      <c r="J41" s="1">
        <v>500</v>
      </c>
      <c r="L41" s="1">
        <v>500</v>
      </c>
      <c r="N41" s="1">
        <v>500</v>
      </c>
      <c r="P41" s="1">
        <v>500</v>
      </c>
    </row>
    <row r="42" spans="1:16" x14ac:dyDescent="0.25">
      <c r="A42" s="6" t="s">
        <v>23</v>
      </c>
      <c r="B42" s="1">
        <v>321.19</v>
      </c>
      <c r="D42" s="1">
        <v>2369.39</v>
      </c>
      <c r="F42" s="1">
        <v>677.4</v>
      </c>
      <c r="H42" s="1">
        <v>2500</v>
      </c>
      <c r="J42" s="1">
        <f>H42*1.05</f>
        <v>2625</v>
      </c>
      <c r="L42" s="1">
        <f>J42*1.05</f>
        <v>2756.25</v>
      </c>
      <c r="N42" s="1">
        <f>L42*1.05</f>
        <v>2894.0625</v>
      </c>
      <c r="P42" s="1">
        <f>N42*1.05</f>
        <v>3038.765625</v>
      </c>
    </row>
    <row r="43" spans="1:16" x14ac:dyDescent="0.25">
      <c r="A43" s="6" t="s">
        <v>67</v>
      </c>
      <c r="B43" s="1">
        <v>0</v>
      </c>
      <c r="H43" s="1">
        <v>0</v>
      </c>
      <c r="J43" s="1">
        <v>5000</v>
      </c>
      <c r="L43" s="1">
        <v>5000</v>
      </c>
      <c r="N43" s="1">
        <v>5000</v>
      </c>
      <c r="P43" s="1">
        <v>5000</v>
      </c>
    </row>
    <row r="44" spans="1:16" ht="17.25" x14ac:dyDescent="0.4">
      <c r="A44" s="6" t="s">
        <v>22</v>
      </c>
      <c r="B44" s="7">
        <v>674.59</v>
      </c>
      <c r="D44" s="7">
        <v>3233.59</v>
      </c>
      <c r="F44" s="7">
        <v>628.15</v>
      </c>
      <c r="H44" s="7">
        <v>2500</v>
      </c>
      <c r="J44" s="7">
        <v>2500</v>
      </c>
      <c r="L44" s="7">
        <v>2500</v>
      </c>
      <c r="N44" s="7">
        <v>2500</v>
      </c>
      <c r="P44" s="7">
        <v>2500</v>
      </c>
    </row>
    <row r="45" spans="1:16" ht="17.25" x14ac:dyDescent="0.4">
      <c r="A45" s="8" t="s">
        <v>21</v>
      </c>
      <c r="B45" s="9">
        <f>SUM(B40:B44)</f>
        <v>4009.84</v>
      </c>
      <c r="D45" s="9">
        <f>SUM(D40:D44)</f>
        <v>9614.57</v>
      </c>
      <c r="F45" s="9">
        <f>SUM(F40:F44)</f>
        <v>4954.7599999999993</v>
      </c>
      <c r="H45" s="9">
        <f>SUM(H40:H44)</f>
        <v>9000</v>
      </c>
      <c r="J45" s="9">
        <f>SUM(J40:J44)</f>
        <v>14195</v>
      </c>
      <c r="L45" s="9">
        <f>SUM(L40:L44)</f>
        <v>14397.65</v>
      </c>
      <c r="N45" s="9">
        <f>SUM(N40:N44)</f>
        <v>14608.290499999999</v>
      </c>
      <c r="P45" s="9">
        <f>SUM(P40:P44)</f>
        <v>14827.278184999999</v>
      </c>
    </row>
    <row r="46" spans="1:16" ht="5.25" customHeight="1" x14ac:dyDescent="0.25"/>
    <row r="47" spans="1:16" x14ac:dyDescent="0.25">
      <c r="A47" s="5" t="s">
        <v>20</v>
      </c>
    </row>
    <row r="48" spans="1:16" x14ac:dyDescent="0.25">
      <c r="A48" s="12" t="s">
        <v>19</v>
      </c>
      <c r="B48" s="1">
        <v>0</v>
      </c>
      <c r="D48" s="1">
        <v>0</v>
      </c>
      <c r="F48" s="1">
        <v>0</v>
      </c>
      <c r="H48" s="1">
        <v>0</v>
      </c>
      <c r="J48" s="1">
        <v>500</v>
      </c>
      <c r="L48" s="1">
        <v>500</v>
      </c>
      <c r="N48" s="1">
        <v>500</v>
      </c>
      <c r="P48" s="1">
        <v>500</v>
      </c>
    </row>
    <row r="49" spans="1:16" ht="17.25" x14ac:dyDescent="0.4">
      <c r="A49" s="6" t="s">
        <v>18</v>
      </c>
      <c r="B49" s="7">
        <v>438.42</v>
      </c>
      <c r="D49" s="7">
        <v>8458.41</v>
      </c>
      <c r="F49" s="7">
        <v>771.36</v>
      </c>
      <c r="H49" s="7">
        <v>2000</v>
      </c>
      <c r="J49" s="7">
        <v>1500</v>
      </c>
      <c r="L49" s="7">
        <v>1500</v>
      </c>
      <c r="N49" s="7">
        <v>1500</v>
      </c>
      <c r="P49" s="7">
        <v>1500</v>
      </c>
    </row>
    <row r="50" spans="1:16" ht="17.25" x14ac:dyDescent="0.4">
      <c r="A50" s="8" t="s">
        <v>17</v>
      </c>
      <c r="B50" s="9">
        <f>SUM(B48:B49)</f>
        <v>438.42</v>
      </c>
      <c r="D50" s="9">
        <f>SUM(D48:D49)</f>
        <v>8458.41</v>
      </c>
      <c r="F50" s="9">
        <f>SUM(F48:F49)</f>
        <v>771.36</v>
      </c>
      <c r="H50" s="9">
        <f>SUM(H48:H49)</f>
        <v>2000</v>
      </c>
      <c r="J50" s="9">
        <f>SUM(J48:J49)</f>
        <v>2000</v>
      </c>
      <c r="L50" s="9">
        <f>SUM(L48:L49)</f>
        <v>2000</v>
      </c>
      <c r="N50" s="9">
        <f>SUM(N48:N49)</f>
        <v>2000</v>
      </c>
      <c r="P50" s="9">
        <f>SUM(P48:P49)</f>
        <v>2000</v>
      </c>
    </row>
    <row r="51" spans="1:16" ht="5.25" customHeight="1" x14ac:dyDescent="0.25"/>
    <row r="52" spans="1:16" x14ac:dyDescent="0.25">
      <c r="A52" s="5" t="s">
        <v>16</v>
      </c>
    </row>
    <row r="53" spans="1:16" x14ac:dyDescent="0.25">
      <c r="A53" s="6" t="s">
        <v>15</v>
      </c>
      <c r="B53" s="1">
        <v>14.45</v>
      </c>
      <c r="D53" s="1">
        <v>83.4</v>
      </c>
      <c r="F53" s="1">
        <v>0</v>
      </c>
      <c r="H53" s="1">
        <v>500</v>
      </c>
      <c r="J53" s="1">
        <v>500</v>
      </c>
      <c r="L53" s="1">
        <v>500</v>
      </c>
      <c r="N53" s="1">
        <v>500</v>
      </c>
      <c r="P53" s="1">
        <v>500</v>
      </c>
    </row>
    <row r="54" spans="1:16" x14ac:dyDescent="0.25">
      <c r="A54" s="6" t="s">
        <v>14</v>
      </c>
      <c r="B54" s="1">
        <v>15</v>
      </c>
      <c r="D54" s="1">
        <v>60</v>
      </c>
      <c r="F54" s="1">
        <v>168</v>
      </c>
      <c r="H54" s="1">
        <v>100</v>
      </c>
      <c r="J54" s="1">
        <v>100</v>
      </c>
      <c r="L54" s="1">
        <v>100</v>
      </c>
      <c r="N54" s="1">
        <v>100</v>
      </c>
      <c r="P54" s="1">
        <v>100</v>
      </c>
    </row>
    <row r="55" spans="1:16" x14ac:dyDescent="0.25">
      <c r="A55" s="6" t="s">
        <v>13</v>
      </c>
      <c r="B55" s="1">
        <v>782</v>
      </c>
      <c r="D55" s="1">
        <v>200</v>
      </c>
      <c r="F55" s="1">
        <v>0</v>
      </c>
      <c r="H55" s="1">
        <v>200</v>
      </c>
      <c r="J55" s="1">
        <v>200</v>
      </c>
      <c r="L55" s="1">
        <v>200</v>
      </c>
      <c r="N55" s="1">
        <v>200</v>
      </c>
      <c r="P55" s="1">
        <v>200</v>
      </c>
    </row>
    <row r="56" spans="1:16" x14ac:dyDescent="0.25">
      <c r="A56" s="6" t="s">
        <v>12</v>
      </c>
      <c r="B56" s="1">
        <v>764.97</v>
      </c>
      <c r="D56" s="1">
        <v>323.36</v>
      </c>
      <c r="F56" s="1">
        <v>577</v>
      </c>
      <c r="H56" s="1">
        <v>500</v>
      </c>
      <c r="J56" s="1">
        <v>500</v>
      </c>
      <c r="L56" s="1">
        <v>500</v>
      </c>
      <c r="N56" s="1">
        <v>500</v>
      </c>
      <c r="P56" s="1">
        <v>500</v>
      </c>
    </row>
    <row r="57" spans="1:16" x14ac:dyDescent="0.25">
      <c r="A57" s="6" t="s">
        <v>11</v>
      </c>
      <c r="B57" s="1">
        <v>2288.5</v>
      </c>
      <c r="D57" s="1">
        <v>1190</v>
      </c>
      <c r="F57" s="1">
        <f>156+422</f>
        <v>578</v>
      </c>
      <c r="H57" s="1">
        <v>1300</v>
      </c>
      <c r="J57" s="1">
        <v>1300</v>
      </c>
      <c r="L57" s="1">
        <v>1300</v>
      </c>
      <c r="N57" s="1">
        <v>1300</v>
      </c>
      <c r="P57" s="1">
        <v>1300</v>
      </c>
    </row>
    <row r="58" spans="1:16" x14ac:dyDescent="0.25">
      <c r="A58" s="6" t="s">
        <v>10</v>
      </c>
      <c r="B58" s="1">
        <v>2507.4699999999998</v>
      </c>
      <c r="D58" s="1">
        <v>3995.86</v>
      </c>
      <c r="F58" s="1">
        <v>2513.3200000000002</v>
      </c>
      <c r="H58" s="1">
        <v>4800</v>
      </c>
      <c r="J58" s="1">
        <v>4800</v>
      </c>
      <c r="L58" s="1">
        <v>4800</v>
      </c>
      <c r="N58" s="1">
        <v>4800</v>
      </c>
      <c r="P58" s="1">
        <v>4800</v>
      </c>
    </row>
    <row r="59" spans="1:16" x14ac:dyDescent="0.25">
      <c r="A59" s="6" t="s">
        <v>9</v>
      </c>
      <c r="B59" s="1">
        <v>17.28</v>
      </c>
      <c r="D59" s="1">
        <v>595</v>
      </c>
      <c r="F59" s="1">
        <v>990</v>
      </c>
      <c r="H59" s="1">
        <v>1000</v>
      </c>
      <c r="J59" s="1">
        <v>1000</v>
      </c>
      <c r="L59" s="1">
        <v>1000</v>
      </c>
      <c r="N59" s="1">
        <v>1000</v>
      </c>
      <c r="P59" s="1">
        <v>1000</v>
      </c>
    </row>
    <row r="60" spans="1:16" x14ac:dyDescent="0.25">
      <c r="A60" s="6" t="s">
        <v>8</v>
      </c>
      <c r="B60" s="1">
        <v>3263.99</v>
      </c>
      <c r="D60" s="1">
        <v>2079.4899999999998</v>
      </c>
      <c r="F60" s="1">
        <v>1629.19</v>
      </c>
      <c r="H60" s="1">
        <v>1000</v>
      </c>
      <c r="J60" s="1">
        <v>1000</v>
      </c>
      <c r="L60" s="1">
        <v>1000</v>
      </c>
      <c r="N60" s="1">
        <v>1000</v>
      </c>
      <c r="P60" s="1">
        <v>1000</v>
      </c>
    </row>
    <row r="61" spans="1:16" x14ac:dyDescent="0.25">
      <c r="A61" s="6" t="s">
        <v>7</v>
      </c>
      <c r="B61" s="1">
        <v>1834.38</v>
      </c>
      <c r="D61" s="1">
        <v>6823.76</v>
      </c>
      <c r="F61" s="1">
        <v>4671.3</v>
      </c>
      <c r="H61" s="1">
        <v>5000</v>
      </c>
      <c r="J61" s="1">
        <f>H61*1.05</f>
        <v>5250</v>
      </c>
      <c r="L61" s="1">
        <f>J61*1.05</f>
        <v>5512.5</v>
      </c>
      <c r="N61" s="1">
        <f>L61*1.05</f>
        <v>5788.125</v>
      </c>
      <c r="P61" s="1">
        <f>N61*1.05</f>
        <v>6077.53125</v>
      </c>
    </row>
    <row r="62" spans="1:16" x14ac:dyDescent="0.25">
      <c r="A62" s="6" t="s">
        <v>6</v>
      </c>
      <c r="B62" s="1">
        <v>0</v>
      </c>
      <c r="D62" s="1">
        <v>0</v>
      </c>
      <c r="F62" s="1">
        <v>6000</v>
      </c>
      <c r="H62" s="1">
        <v>2400</v>
      </c>
      <c r="J62" s="1">
        <f>200*12</f>
        <v>2400</v>
      </c>
      <c r="L62" s="1">
        <f>200*12</f>
        <v>2400</v>
      </c>
      <c r="N62" s="1">
        <f>200*12</f>
        <v>2400</v>
      </c>
      <c r="P62" s="1">
        <f>200*12</f>
        <v>2400</v>
      </c>
    </row>
    <row r="63" spans="1:16" x14ac:dyDescent="0.25">
      <c r="A63" s="6" t="s">
        <v>5</v>
      </c>
      <c r="B63" s="1">
        <v>1500</v>
      </c>
      <c r="D63" s="1">
        <v>1375</v>
      </c>
      <c r="F63" s="1">
        <v>500</v>
      </c>
      <c r="H63" s="1">
        <v>1500</v>
      </c>
      <c r="J63" s="1">
        <f>H63*1.05</f>
        <v>1575</v>
      </c>
      <c r="L63" s="1">
        <v>1650</v>
      </c>
      <c r="N63" s="1">
        <v>1750</v>
      </c>
      <c r="P63" s="1">
        <v>1750</v>
      </c>
    </row>
    <row r="64" spans="1:16" x14ac:dyDescent="0.25">
      <c r="A64" s="6" t="s">
        <v>4</v>
      </c>
      <c r="B64" s="1">
        <v>1320</v>
      </c>
      <c r="D64" s="1">
        <v>14050</v>
      </c>
      <c r="F64" s="1">
        <v>0</v>
      </c>
      <c r="H64" s="1">
        <v>0</v>
      </c>
      <c r="J64" s="1">
        <v>0</v>
      </c>
      <c r="L64" s="1">
        <v>0</v>
      </c>
      <c r="N64" s="1">
        <v>0</v>
      </c>
      <c r="P64" s="1">
        <v>0</v>
      </c>
    </row>
    <row r="65" spans="1:16" s="7" customFormat="1" ht="17.25" x14ac:dyDescent="0.4">
      <c r="A65" s="12" t="s">
        <v>3</v>
      </c>
      <c r="B65" s="7">
        <v>0</v>
      </c>
      <c r="F65" s="7">
        <v>0</v>
      </c>
      <c r="H65" s="7">
        <v>4050</v>
      </c>
      <c r="J65" s="7">
        <f>H65+150</f>
        <v>4200</v>
      </c>
      <c r="L65" s="7">
        <f>J65+150</f>
        <v>4350</v>
      </c>
      <c r="N65" s="7">
        <f>L65+150</f>
        <v>4500</v>
      </c>
      <c r="P65" s="7">
        <f>N65+150</f>
        <v>4650</v>
      </c>
    </row>
    <row r="66" spans="1:16" ht="17.25" x14ac:dyDescent="0.4">
      <c r="A66" s="8" t="s">
        <v>2</v>
      </c>
      <c r="B66" s="9">
        <f>SUM(B53:B65)</f>
        <v>14308.04</v>
      </c>
      <c r="D66" s="9">
        <f>SUM(D53:D65)</f>
        <v>30775.870000000003</v>
      </c>
      <c r="F66" s="9">
        <f>SUM(F53:F65)</f>
        <v>17626.810000000001</v>
      </c>
      <c r="H66" s="9">
        <f>SUM(H53:H65)</f>
        <v>22350</v>
      </c>
      <c r="J66" s="9">
        <f>SUM(J53:J65)</f>
        <v>22825</v>
      </c>
      <c r="L66" s="9">
        <f>SUM(L53:L65)</f>
        <v>23312.5</v>
      </c>
      <c r="N66" s="9">
        <f>SUM(N53:N65)</f>
        <v>23838.125</v>
      </c>
      <c r="P66" s="9">
        <f>SUM(P53:P65)</f>
        <v>24277.53125</v>
      </c>
    </row>
    <row r="67" spans="1:16" ht="17.25" x14ac:dyDescent="0.4">
      <c r="A67" s="11" t="s">
        <v>1</v>
      </c>
      <c r="B67" s="9">
        <f>B66+B50+B45+B37</f>
        <v>60331.86</v>
      </c>
      <c r="D67" s="9">
        <f>D66+D50+D45+D37</f>
        <v>211587.46000000002</v>
      </c>
      <c r="F67" s="9">
        <f>F66+F50+F45+F37</f>
        <v>140436.6</v>
      </c>
      <c r="H67" s="9">
        <f>H66+H50+H45+H37</f>
        <v>253228</v>
      </c>
      <c r="J67" s="9">
        <f>J66+J50+J45+J37</f>
        <v>263212.27236</v>
      </c>
      <c r="L67" s="9">
        <f>L66+L50+L45+L37</f>
        <v>268303.26780720003</v>
      </c>
      <c r="N67" s="9">
        <f>N66+N50+N45+N37</f>
        <v>273528.39566334401</v>
      </c>
      <c r="P67" s="9">
        <f>P66+P50+P45+P37</f>
        <v>278765.42920161091</v>
      </c>
    </row>
    <row r="68" spans="1:16" ht="5.25" customHeight="1" x14ac:dyDescent="0.25"/>
    <row r="69" spans="1:16" ht="17.25" x14ac:dyDescent="0.4">
      <c r="A69" s="13" t="s">
        <v>0</v>
      </c>
      <c r="B69" s="14">
        <f>B18-B67</f>
        <v>153845.25</v>
      </c>
      <c r="D69" s="14">
        <f>D18-D67</f>
        <v>3984.2200000000012</v>
      </c>
      <c r="F69" s="14">
        <f>F18-F67</f>
        <v>-6592.1900000000023</v>
      </c>
      <c r="H69" s="14">
        <f>H18-H67</f>
        <v>-14728</v>
      </c>
      <c r="J69" s="14">
        <f>J18-J67</f>
        <v>987.72763999999734</v>
      </c>
      <c r="L69" s="14">
        <f>L18-L67</f>
        <v>23356.732192799973</v>
      </c>
      <c r="N69" s="14">
        <f>N18-N67</f>
        <v>45714.60433665599</v>
      </c>
      <c r="P69" s="14">
        <f>P18-P67</f>
        <v>68189.720798389113</v>
      </c>
    </row>
  </sheetData>
  <pageMargins left="0.7" right="0.7" top="1.0520833333333333" bottom="0.75" header="0.3" footer="0.3"/>
  <pageSetup scale="61" fitToHeight="0" orientation="landscape" r:id="rId1"/>
  <headerFooter>
    <oddHeader xml:space="preserve">&amp;C&amp;"-,Bold"&amp;14OWASCO LAKE WATERSHED MANAGEMENT COUNCIL, INC.
2020 Budget&amp;RDraft 10.14.19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Proforma rev. 11.4.2019</vt:lpstr>
      <vt:lpstr>Proforma rev. 7.13.20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Cayuga IT Department</dc:creator>
  <cp:lastModifiedBy>itc</cp:lastModifiedBy>
  <dcterms:created xsi:type="dcterms:W3CDTF">2019-10-25T13:24:00Z</dcterms:created>
  <dcterms:modified xsi:type="dcterms:W3CDTF">2020-08-21T13:53:30Z</dcterms:modified>
</cp:coreProperties>
</file>